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80" windowHeight="7575" tabRatio="842" activeTab="2"/>
  </bookViews>
  <sheets>
    <sheet name="Mammals" sheetId="1" r:id="rId1"/>
    <sheet name="Birds" sheetId="2" r:id="rId2"/>
    <sheet name="Aquatox Input parameter" sheetId="3" r:id="rId3"/>
    <sheet name="Step 1" sheetId="4" r:id="rId4"/>
    <sheet name="Step 2" sheetId="5" r:id="rId5"/>
    <sheet name="Step 3" sheetId="6" r:id="rId6"/>
    <sheet name="Step 4" sheetId="7" r:id="rId7"/>
    <sheet name="Step 5" sheetId="8" r:id="rId8"/>
    <sheet name="Step 6" sheetId="9" r:id="rId9"/>
    <sheet name="Step 7" sheetId="10" r:id="rId10"/>
    <sheet name="Step 8" sheetId="11" r:id="rId11"/>
    <sheet name="Step 9" sheetId="12" r:id="rId12"/>
    <sheet name="Step 10" sheetId="13" r:id="rId13"/>
  </sheets>
  <definedNames>
    <definedName name="_Ref380052844" localSheetId="4">'Step 2'!#REF!</definedName>
  </definedNames>
  <calcPr fullCalcOnLoad="1"/>
</workbook>
</file>

<file path=xl/sharedStrings.xml><?xml version="1.0" encoding="utf-8"?>
<sst xmlns="http://schemas.openxmlformats.org/spreadsheetml/2006/main" count="255" uniqueCount="152">
  <si>
    <t>Active substance A</t>
  </si>
  <si>
    <t>Active substance B</t>
  </si>
  <si>
    <t>Go to 7</t>
  </si>
  <si>
    <t>Go to 2</t>
  </si>
  <si>
    <t>Step 1</t>
  </si>
  <si>
    <t>Step 2</t>
  </si>
  <si>
    <t>Step 3</t>
  </si>
  <si>
    <t>Step 5</t>
  </si>
  <si>
    <t>Step 4</t>
  </si>
  <si>
    <t>Step 6</t>
  </si>
  <si>
    <t>Step 7</t>
  </si>
  <si>
    <t>No (mixture toxicity calculation feasible):</t>
  </si>
  <si>
    <t>Go to 8</t>
  </si>
  <si>
    <t>Step 8</t>
  </si>
  <si>
    <t xml:space="preserve">Yes (measured mixture toxicity not plausible): </t>
  </si>
  <si>
    <t xml:space="preserve">No (measured mixture toxicity plausible): </t>
  </si>
  <si>
    <t>Step 9</t>
  </si>
  <si>
    <t>Go to 3</t>
  </si>
  <si>
    <t>Step 10</t>
  </si>
  <si>
    <t>Covered by active substance assessment</t>
  </si>
  <si>
    <t>Active substance C</t>
  </si>
  <si>
    <t>Formulation</t>
  </si>
  <si>
    <t>Toxicity</t>
  </si>
  <si>
    <t>TER</t>
  </si>
  <si>
    <t>Bird NOED/NOEL (reproduction) (mg a.s./kg bw/d): screening</t>
  </si>
  <si>
    <t>Bird NOED/NOEL (reproduction) (mg a.s./kg bw/d): refinement mix</t>
  </si>
  <si>
    <t>Shortcut value (reproduction) (mg/kg bw/d/kg/ha): first tier scenario A</t>
  </si>
  <si>
    <t>f twa (plant material): refinement</t>
  </si>
  <si>
    <t>DT50 (plant material)</t>
  </si>
  <si>
    <t>f twa (plant material): default</t>
  </si>
  <si>
    <t>MAFm</t>
  </si>
  <si>
    <t>DDD (reproduction) (mg/kg bw/d): scenario A: refinement mix</t>
  </si>
  <si>
    <t>DDD (reproduction) (mg/kg bw/d): scenario A</t>
  </si>
  <si>
    <t>Shortcut value (reproduction) (mg/kg bw/d/kg/ha): screening</t>
  </si>
  <si>
    <t>DDD (reproduction) (mg/kg bw/d): sceening</t>
  </si>
  <si>
    <t>Bird NOED/NOEL (reproduction) (mg a.s./kg bw/d): refinement</t>
  </si>
  <si>
    <t>Bird NOED/NOEL (reproduction) (mg a.s./kg bw/d): toxicity per fraction</t>
  </si>
  <si>
    <t>Fraction of active substance [i] in the mixture (X(a.s.i)) with ∑ X(a.s.i) = 1</t>
  </si>
  <si>
    <t>Bird LD50 (acute) (mg a.s./kg bw)</t>
  </si>
  <si>
    <t>Bird LD50 (acute) (mg a.s./kg bw): toxicity per fraction</t>
  </si>
  <si>
    <t>Bird LD50 (acute) (mg a.s./kg bw): Toxicity per fraction (mix) = surrogate LD50 (mix)</t>
  </si>
  <si>
    <t>Bird NOED/NOEL (reproduction) (mg a.s./kg bw/d): Toxicity per fraction (mix) = surrogate NOEC (mix)</t>
  </si>
  <si>
    <t>Active substance</t>
  </si>
  <si>
    <t>Bird LD50 (acute) (mg a.s./kg bw): deviation from mixture toxicity (%)</t>
  </si>
  <si>
    <t>Bird NOED/NOEL (reproduction) (mg a.s./kg bw/d): deviation from mixture toxicity (%)</t>
  </si>
  <si>
    <t>Bird LD50 (acute) (mg a.s./kg bw): Toxicity per fraction (product) = surrogate LD50 (product)</t>
  </si>
  <si>
    <t>Bird LD50 (acute) (mg a.s./kg bw): toxicity per fraction (based on fraction of active substance [i] in the product)</t>
  </si>
  <si>
    <t>Application rate (g a.s./ha)</t>
  </si>
  <si>
    <t>Fraction of active substance [i] in the product (X(a.s.i) = fraction of active substance [i] in the mixture (here: formulation) = nominal concentrations in the product [g a.s./g product])</t>
  </si>
  <si>
    <t>Shortcut value (reproduction) (mg/kg bw/d/kg/ha): first tier scenario B</t>
  </si>
  <si>
    <t>DDD (reproduction) (mg/kg bw/d): scenario B</t>
  </si>
  <si>
    <t>DDD (reproduction) (mg/kg bw/d): scenario B: refinement mix</t>
  </si>
  <si>
    <t>RUDm x FIR/bw x PD (ground arthropods)</t>
  </si>
  <si>
    <t>RUDm x FIR/bw x PD (weed seeds)</t>
  </si>
  <si>
    <t>RUDm x FIR/bw x PD (weeds)</t>
  </si>
  <si>
    <t>DDD (reproduction) (mg/kg bw/d): scenario C</t>
  </si>
  <si>
    <t>AAA</t>
  </si>
  <si>
    <t>BBB</t>
  </si>
  <si>
    <t>CCC</t>
  </si>
  <si>
    <t>Calculation tool: Decision scheme for mixture toxicity risk assessment</t>
  </si>
  <si>
    <t>10.3.11 from EFSA Journal 2013;11(7):3290 Guidance on tiered risk assessment for edge-of-field surface waters</t>
  </si>
  <si>
    <r>
      <t>Density [g product/cm</t>
    </r>
    <r>
      <rPr>
        <vertAlign val="superscript"/>
        <sz val="14"/>
        <color indexed="8"/>
        <rFont val="Calibri"/>
        <family val="2"/>
      </rPr>
      <t>3</t>
    </r>
    <r>
      <rPr>
        <sz val="14"/>
        <color indexed="8"/>
        <rFont val="Calibri"/>
        <family val="2"/>
      </rPr>
      <t>]</t>
    </r>
  </si>
  <si>
    <t>Name/code of the product</t>
  </si>
  <si>
    <r>
      <t>LC</t>
    </r>
    <r>
      <rPr>
        <vertAlign val="subscript"/>
        <sz val="14"/>
        <color indexed="8"/>
        <rFont val="Calibri"/>
        <family val="2"/>
      </rPr>
      <t>50</t>
    </r>
    <r>
      <rPr>
        <sz val="14"/>
        <color indexed="8"/>
        <rFont val="Calibri"/>
        <family val="2"/>
      </rPr>
      <t xml:space="preserve"> fish</t>
    </r>
  </si>
  <si>
    <r>
      <t>EC</t>
    </r>
    <r>
      <rPr>
        <vertAlign val="subscript"/>
        <sz val="14"/>
        <color indexed="8"/>
        <rFont val="Calibri"/>
        <family val="2"/>
      </rPr>
      <t>50</t>
    </r>
    <r>
      <rPr>
        <sz val="14"/>
        <color indexed="8"/>
        <rFont val="Calibri"/>
        <family val="2"/>
      </rPr>
      <t xml:space="preserve"> daphnids</t>
    </r>
  </si>
  <si>
    <r>
      <t>E</t>
    </r>
    <r>
      <rPr>
        <vertAlign val="subscript"/>
        <sz val="14"/>
        <color indexed="8"/>
        <rFont val="Calibri"/>
        <family val="2"/>
      </rPr>
      <t>r</t>
    </r>
    <r>
      <rPr>
        <sz val="14"/>
        <color indexed="8"/>
        <rFont val="Calibri"/>
        <family val="2"/>
      </rPr>
      <t>C</t>
    </r>
    <r>
      <rPr>
        <vertAlign val="subscript"/>
        <sz val="14"/>
        <color indexed="8"/>
        <rFont val="Calibri"/>
        <family val="2"/>
      </rPr>
      <t>50</t>
    </r>
    <r>
      <rPr>
        <sz val="14"/>
        <color indexed="8"/>
        <rFont val="Calibri"/>
        <family val="2"/>
      </rPr>
      <t xml:space="preserve"> algae</t>
    </r>
  </si>
  <si>
    <r>
      <t>E</t>
    </r>
    <r>
      <rPr>
        <vertAlign val="subscript"/>
        <sz val="14"/>
        <color indexed="8"/>
        <rFont val="Calibri"/>
        <family val="2"/>
      </rPr>
      <t>r</t>
    </r>
    <r>
      <rPr>
        <sz val="14"/>
        <color indexed="8"/>
        <rFont val="Calibri"/>
        <family val="2"/>
      </rPr>
      <t>C</t>
    </r>
    <r>
      <rPr>
        <vertAlign val="subscript"/>
        <sz val="14"/>
        <color indexed="8"/>
        <rFont val="Calibri"/>
        <family val="2"/>
      </rPr>
      <t>50</t>
    </r>
    <r>
      <rPr>
        <sz val="14"/>
        <color indexed="8"/>
        <rFont val="Calibri"/>
        <family val="2"/>
      </rPr>
      <t xml:space="preserve"> lemna</t>
    </r>
  </si>
  <si>
    <r>
      <t>E</t>
    </r>
    <r>
      <rPr>
        <vertAlign val="subscript"/>
        <sz val="14"/>
        <color indexed="8"/>
        <rFont val="Calibri"/>
        <family val="2"/>
      </rPr>
      <t>r</t>
    </r>
    <r>
      <rPr>
        <sz val="14"/>
        <color indexed="8"/>
        <rFont val="Calibri"/>
        <family val="2"/>
      </rPr>
      <t>C</t>
    </r>
    <r>
      <rPr>
        <vertAlign val="subscript"/>
        <sz val="14"/>
        <color indexed="8"/>
        <rFont val="Calibri"/>
        <family val="2"/>
      </rPr>
      <t>50</t>
    </r>
    <r>
      <rPr>
        <sz val="14"/>
        <color indexed="8"/>
        <rFont val="Calibri"/>
        <family val="2"/>
      </rPr>
      <t xml:space="preserve"> myriophyllum</t>
    </r>
  </si>
  <si>
    <t>Name of the active substance A</t>
  </si>
  <si>
    <t>Concentrations of the active substance A in the product</t>
  </si>
  <si>
    <t>Fraction considering density [%]</t>
  </si>
  <si>
    <t>Toxicity of the product [mg product/L]</t>
  </si>
  <si>
    <t>Name of the active substance B</t>
  </si>
  <si>
    <t>Name of the active substance C</t>
  </si>
  <si>
    <t>Concentrations of the active substance B in the product</t>
  </si>
  <si>
    <t>Concentrations of the active substance C in the product</t>
  </si>
  <si>
    <t>Composition</t>
  </si>
  <si>
    <t>Exposure</t>
  </si>
  <si>
    <t>Remarks</t>
  </si>
  <si>
    <r>
      <t>Are measured toxicity data (EC</t>
    </r>
    <r>
      <rPr>
        <vertAlign val="subscript"/>
        <sz val="14"/>
        <color indexed="8"/>
        <rFont val="Calibri"/>
        <family val="2"/>
      </rPr>
      <t>x</t>
    </r>
    <r>
      <rPr>
        <sz val="14"/>
        <color indexed="8"/>
        <rFont val="Calibri"/>
        <family val="2"/>
      </rPr>
      <t>) available for the given endpoint (typically chronic data available only for a.s.)?</t>
    </r>
  </si>
  <si>
    <r>
      <t>Calculated mixture toxicity (a.s. in product) (EC</t>
    </r>
    <r>
      <rPr>
        <vertAlign val="subscript"/>
        <sz val="14"/>
        <color indexed="8"/>
        <rFont val="Calibri"/>
        <family val="2"/>
      </rPr>
      <t>x mix-CA</t>
    </r>
    <r>
      <rPr>
        <sz val="14"/>
        <color indexed="8"/>
        <rFont val="Calibri"/>
        <family val="2"/>
      </rPr>
      <t>) [mg a.s./L]</t>
    </r>
  </si>
  <si>
    <r>
      <t>Check the plausibility of the measured formulation toxicity (EC</t>
    </r>
    <r>
      <rPr>
        <vertAlign val="subscript"/>
        <sz val="14"/>
        <color indexed="8"/>
        <rFont val="Calibri"/>
        <family val="2"/>
      </rPr>
      <t>x PPP</t>
    </r>
    <r>
      <rPr>
        <sz val="14"/>
        <color indexed="8"/>
        <rFont val="Calibri"/>
        <family val="2"/>
      </rPr>
      <t>) against the calculated mixture toxicity EC</t>
    </r>
    <r>
      <rPr>
        <vertAlign val="subscript"/>
        <sz val="14"/>
        <color indexed="8"/>
        <rFont val="Calibri"/>
        <family val="2"/>
      </rPr>
      <t>x mix-CA</t>
    </r>
    <r>
      <rPr>
        <sz val="14"/>
        <color indexed="8"/>
        <rFont val="Calibri"/>
        <family val="2"/>
      </rPr>
      <t xml:space="preserve"> (assuming CA, Equation 13) for exactly the mixture composition of the a.s. in the formulation (EC</t>
    </r>
    <r>
      <rPr>
        <vertAlign val="subscript"/>
        <sz val="14"/>
        <color indexed="8"/>
        <rFont val="Calibri"/>
        <family val="2"/>
      </rPr>
      <t>x PPP</t>
    </r>
    <r>
      <rPr>
        <sz val="14"/>
        <color indexed="8"/>
        <rFont val="Calibri"/>
        <family val="2"/>
      </rPr>
      <t>) by means of the model deviation ratio (MDR = EC</t>
    </r>
    <r>
      <rPr>
        <vertAlign val="subscript"/>
        <sz val="14"/>
        <color indexed="8"/>
        <rFont val="Calibri"/>
        <family val="2"/>
      </rPr>
      <t>x mix-CA</t>
    </r>
    <r>
      <rPr>
        <sz val="14"/>
        <color indexed="8"/>
        <rFont val="Calibri"/>
        <family val="2"/>
      </rPr>
      <t>/EC</t>
    </r>
    <r>
      <rPr>
        <vertAlign val="subscript"/>
        <sz val="14"/>
        <color indexed="8"/>
        <rFont val="Calibri"/>
        <family val="2"/>
      </rPr>
      <t>x PPP</t>
    </r>
    <r>
      <rPr>
        <sz val="14"/>
        <color indexed="8"/>
        <rFont val="Calibri"/>
        <family val="2"/>
      </rPr>
      <t>).</t>
    </r>
  </si>
  <si>
    <t>Endpoint/Test species</t>
  </si>
  <si>
    <r>
      <t>Only for the a.s. (EC</t>
    </r>
    <r>
      <rPr>
        <vertAlign val="subscript"/>
        <sz val="14"/>
        <color indexed="8"/>
        <rFont val="Calibri"/>
        <family val="2"/>
      </rPr>
      <t>x a.s.</t>
    </r>
    <r>
      <rPr>
        <sz val="14"/>
        <color indexed="8"/>
        <rFont val="Calibri"/>
        <family val="2"/>
      </rPr>
      <t>)</t>
    </r>
  </si>
  <si>
    <r>
      <t>For both formulation (EC</t>
    </r>
    <r>
      <rPr>
        <vertAlign val="subscript"/>
        <sz val="14"/>
        <color indexed="8"/>
        <rFont val="Calibri"/>
        <family val="2"/>
      </rPr>
      <t>x PPP</t>
    </r>
    <r>
      <rPr>
        <sz val="14"/>
        <color indexed="8"/>
        <rFont val="Calibri"/>
        <family val="2"/>
      </rPr>
      <t>) and a.s. (EC</t>
    </r>
    <r>
      <rPr>
        <vertAlign val="subscript"/>
        <sz val="14"/>
        <color indexed="8"/>
        <rFont val="Calibri"/>
        <family val="2"/>
      </rPr>
      <t>x a.s.</t>
    </r>
    <r>
      <rPr>
        <sz val="14"/>
        <color indexed="8"/>
        <rFont val="Calibri"/>
        <family val="2"/>
      </rPr>
      <t>)</t>
    </r>
  </si>
  <si>
    <r>
      <t>Model deviation ratio (MDR = EC</t>
    </r>
    <r>
      <rPr>
        <vertAlign val="subscript"/>
        <sz val="14"/>
        <color indexed="8"/>
        <rFont val="Calibri"/>
        <family val="2"/>
      </rPr>
      <t>x mix-CA</t>
    </r>
    <r>
      <rPr>
        <sz val="14"/>
        <color indexed="8"/>
        <rFont val="Calibri"/>
        <family val="2"/>
      </rPr>
      <t>/EC</t>
    </r>
    <r>
      <rPr>
        <vertAlign val="subscript"/>
        <sz val="14"/>
        <color indexed="8"/>
        <rFont val="Calibri"/>
        <family val="2"/>
      </rPr>
      <t>x PPP</t>
    </r>
    <r>
      <rPr>
        <sz val="14"/>
        <color indexed="8"/>
        <rFont val="Calibri"/>
        <family val="2"/>
      </rPr>
      <t>)</t>
    </r>
  </si>
  <si>
    <t>Triggers</t>
  </si>
  <si>
    <t>&lt;0.2</t>
  </si>
  <si>
    <t>0.2-5</t>
  </si>
  <si>
    <t>&gt;5</t>
  </si>
  <si>
    <t xml:space="preserve">The calculated MDR values are between 0.2 and 5 for each organism (see Table 10.2-5), indicating that the formulation does not cause an (unexpected) increased toxicity compared to the active substances for these organisms. No synergisms or additional toxicity occurs due to the co-formulants. </t>
  </si>
  <si>
    <t>Template for the RR</t>
  </si>
  <si>
    <r>
      <t>Check whether the mixture composition in the formulation study giving the measured mixture toxicity (EC</t>
    </r>
    <r>
      <rPr>
        <vertAlign val="subscript"/>
        <sz val="14"/>
        <color indexed="8"/>
        <rFont val="Calibri"/>
        <family val="2"/>
      </rPr>
      <t>x PPP</t>
    </r>
    <r>
      <rPr>
        <sz val="14"/>
        <color indexed="8"/>
        <rFont val="Calibri"/>
        <family val="2"/>
      </rPr>
      <t>) in terms of the relative proportions of the individual a.s. is similar to the mixture composition at the PEC</t>
    </r>
    <r>
      <rPr>
        <vertAlign val="subscript"/>
        <sz val="14"/>
        <color indexed="8"/>
        <rFont val="Calibri"/>
        <family val="2"/>
      </rPr>
      <t>mix</t>
    </r>
    <r>
      <rPr>
        <sz val="14"/>
        <color indexed="8"/>
        <rFont val="Calibri"/>
        <family val="2"/>
      </rPr>
      <t>. As a direct comparison on the basis of the relative proportions of the a.s. at the EC</t>
    </r>
    <r>
      <rPr>
        <vertAlign val="subscript"/>
        <sz val="14"/>
        <color indexed="8"/>
        <rFont val="Calibri"/>
        <family val="2"/>
      </rPr>
      <t>x PPP</t>
    </r>
    <r>
      <rPr>
        <sz val="14"/>
        <color indexed="8"/>
        <rFont val="Calibri"/>
        <family val="2"/>
      </rPr>
      <t xml:space="preserve"> with the relative proportion at the PEC</t>
    </r>
    <r>
      <rPr>
        <vertAlign val="subscript"/>
        <sz val="14"/>
        <color indexed="8"/>
        <rFont val="Calibri"/>
        <family val="2"/>
      </rPr>
      <t>mix</t>
    </r>
    <r>
      <rPr>
        <sz val="14"/>
        <color indexed="8"/>
        <rFont val="Calibri"/>
        <family val="2"/>
      </rPr>
      <t xml:space="preserve"> is not informative as such, the comparison is done based on calculated mixture toxicity (assuming CA) for both mixture compositions. Therefore, calculate EC</t>
    </r>
    <r>
      <rPr>
        <vertAlign val="subscript"/>
        <sz val="14"/>
        <color indexed="8"/>
        <rFont val="Calibri"/>
        <family val="2"/>
      </rPr>
      <t>x mix-CA</t>
    </r>
    <r>
      <rPr>
        <sz val="14"/>
        <color indexed="8"/>
        <rFont val="Calibri"/>
        <family val="2"/>
      </rPr>
      <t xml:space="preserve"> (see Equation 13) for the mixture composition of the a.s. at the PEC</t>
    </r>
    <r>
      <rPr>
        <vertAlign val="subscript"/>
        <sz val="14"/>
        <color indexed="8"/>
        <rFont val="Calibri"/>
        <family val="2"/>
      </rPr>
      <t>mix</t>
    </r>
    <r>
      <rPr>
        <sz val="14"/>
        <color indexed="8"/>
        <rFont val="Calibri"/>
        <family val="2"/>
      </rPr>
      <t xml:space="preserve"> and compare with the estimate calculated for the formulation (as already done in step 2 above).</t>
    </r>
  </si>
  <si>
    <t>0.8-1.2</t>
  </si>
  <si>
    <t>&lt;0.8 or &gt;1.2</t>
  </si>
  <si>
    <r>
      <t>EC</t>
    </r>
    <r>
      <rPr>
        <vertAlign val="subscript"/>
        <sz val="14"/>
        <color indexed="8"/>
        <rFont val="Calibri"/>
        <family val="2"/>
      </rPr>
      <t>x mix-CA</t>
    </r>
    <r>
      <rPr>
        <sz val="14"/>
        <color indexed="8"/>
        <rFont val="Calibri"/>
        <family val="2"/>
      </rPr>
      <t xml:space="preserve"> (a.s. in product)/EC</t>
    </r>
    <r>
      <rPr>
        <vertAlign val="subscript"/>
        <sz val="14"/>
        <color indexed="8"/>
        <rFont val="Calibri"/>
        <family val="2"/>
      </rPr>
      <t>x mix-CA</t>
    </r>
    <r>
      <rPr>
        <sz val="14"/>
        <color indexed="8"/>
        <rFont val="Calibri"/>
        <family val="2"/>
      </rPr>
      <t xml:space="preserve"> (a.s. in PEC</t>
    </r>
    <r>
      <rPr>
        <vertAlign val="subscript"/>
        <sz val="14"/>
        <color indexed="8"/>
        <rFont val="Calibri"/>
        <family val="2"/>
      </rPr>
      <t>mix</t>
    </r>
    <r>
      <rPr>
        <sz val="14"/>
        <color indexed="8"/>
        <rFont val="Calibri"/>
        <family val="2"/>
      </rPr>
      <t>)</t>
    </r>
  </si>
  <si>
    <r>
      <t>EC</t>
    </r>
    <r>
      <rPr>
        <vertAlign val="subscript"/>
        <sz val="14"/>
        <color indexed="8"/>
        <rFont val="Calibri"/>
        <family val="2"/>
      </rPr>
      <t>x mix-CA</t>
    </r>
    <r>
      <rPr>
        <sz val="14"/>
        <color indexed="8"/>
        <rFont val="Calibri"/>
        <family val="2"/>
      </rPr>
      <t xml:space="preserve"> (a.s. in product)/EC</t>
    </r>
    <r>
      <rPr>
        <vertAlign val="subscript"/>
        <sz val="14"/>
        <color indexed="8"/>
        <rFont val="Calibri"/>
        <family val="2"/>
      </rPr>
      <t>x mix-CA</t>
    </r>
    <r>
      <rPr>
        <sz val="14"/>
        <color indexed="8"/>
        <rFont val="Calibri"/>
        <family val="2"/>
      </rPr>
      <t xml:space="preserve"> (a.s. in PEC</t>
    </r>
    <r>
      <rPr>
        <vertAlign val="subscript"/>
        <sz val="14"/>
        <color indexed="8"/>
        <rFont val="Calibri"/>
        <family val="2"/>
      </rPr>
      <t>mix</t>
    </r>
    <r>
      <rPr>
        <sz val="14"/>
        <color indexed="8"/>
        <rFont val="Calibri"/>
        <family val="2"/>
      </rPr>
      <t>) (at lower exposure tier)</t>
    </r>
  </si>
  <si>
    <t>(lower exposure tier)</t>
  </si>
  <si>
    <t>(higher exposure tier)</t>
  </si>
  <si>
    <r>
      <t>Conduct a mixture RA based on measured mixture toxicity, with the exposure-toxicity ratio (ETR</t>
    </r>
    <r>
      <rPr>
        <vertAlign val="subscript"/>
        <sz val="14"/>
        <color indexed="8"/>
        <rFont val="Calibri"/>
        <family val="2"/>
      </rPr>
      <t>mix</t>
    </r>
    <r>
      <rPr>
        <sz val="14"/>
        <color indexed="8"/>
        <rFont val="Calibri"/>
        <family val="2"/>
      </rPr>
      <t>) being defined as the PEC</t>
    </r>
    <r>
      <rPr>
        <vertAlign val="subscript"/>
        <sz val="14"/>
        <color indexed="8"/>
        <rFont val="Calibri"/>
        <family val="2"/>
      </rPr>
      <t>mix</t>
    </r>
    <r>
      <rPr>
        <sz val="14"/>
        <color indexed="8"/>
        <rFont val="Calibri"/>
        <family val="2"/>
      </rPr>
      <t xml:space="preserve"> divided by the measured EC</t>
    </r>
    <r>
      <rPr>
        <vertAlign val="subscript"/>
        <sz val="14"/>
        <color indexed="8"/>
        <rFont val="Calibri"/>
        <family val="2"/>
      </rPr>
      <t>xPPP</t>
    </r>
    <r>
      <rPr>
        <sz val="14"/>
        <color indexed="8"/>
        <rFont val="Calibri"/>
        <family val="2"/>
      </rPr>
      <t xml:space="preserve"> and compare the outcome with the acceptability criterion (trigger value) decisive for the specific endpoint/exposure scenario combination.</t>
    </r>
  </si>
  <si>
    <r>
      <t>Toxicity of the product (a.s. based) (EC</t>
    </r>
    <r>
      <rPr>
        <vertAlign val="subscript"/>
        <sz val="14"/>
        <color indexed="8"/>
        <rFont val="Calibri"/>
        <family val="2"/>
      </rPr>
      <t>x PPP</t>
    </r>
    <r>
      <rPr>
        <sz val="14"/>
        <color indexed="8"/>
        <rFont val="Calibri"/>
        <family val="2"/>
      </rPr>
      <t>) [mg a.s./L]</t>
    </r>
  </si>
  <si>
    <r>
      <t>ETR</t>
    </r>
    <r>
      <rPr>
        <vertAlign val="subscript"/>
        <sz val="14"/>
        <color indexed="8"/>
        <rFont val="Calibri"/>
        <family val="2"/>
      </rPr>
      <t>mix</t>
    </r>
    <r>
      <rPr>
        <sz val="14"/>
        <color indexed="8"/>
        <rFont val="Calibri"/>
        <family val="2"/>
      </rPr>
      <t xml:space="preserve"> = PEC</t>
    </r>
    <r>
      <rPr>
        <vertAlign val="subscript"/>
        <sz val="14"/>
        <color indexed="8"/>
        <rFont val="Calibri"/>
        <family val="2"/>
      </rPr>
      <t>mix</t>
    </r>
    <r>
      <rPr>
        <sz val="14"/>
        <color indexed="8"/>
        <rFont val="Calibri"/>
        <family val="2"/>
      </rPr>
      <t>/EC</t>
    </r>
    <r>
      <rPr>
        <vertAlign val="subscript"/>
        <sz val="14"/>
        <color indexed="8"/>
        <rFont val="Calibri"/>
        <family val="2"/>
      </rPr>
      <t>x PPP</t>
    </r>
  </si>
  <si>
    <r>
      <t>Total exposure concentration of the mixture (a.s. based) (PEC</t>
    </r>
    <r>
      <rPr>
        <vertAlign val="subscript"/>
        <sz val="14"/>
        <color indexed="8"/>
        <rFont val="Calibri"/>
        <family val="2"/>
      </rPr>
      <t>mix</t>
    </r>
    <r>
      <rPr>
        <sz val="14"/>
        <color indexed="8"/>
        <rFont val="Calibri"/>
        <family val="2"/>
      </rPr>
      <t>) [mg/L]</t>
    </r>
  </si>
  <si>
    <r>
      <t>Toxicity per fraction (1/TU</t>
    </r>
    <r>
      <rPr>
        <vertAlign val="subscript"/>
        <sz val="14"/>
        <color indexed="8"/>
        <rFont val="Calibri"/>
        <family val="2"/>
      </rPr>
      <t>i</t>
    </r>
    <r>
      <rPr>
        <sz val="14"/>
        <color indexed="8"/>
        <rFont val="Calibri"/>
        <family val="2"/>
      </rPr>
      <t>) [mg a.s./L]</t>
    </r>
  </si>
  <si>
    <t>&gt;=90% for one a.s.</t>
  </si>
  <si>
    <t>&gt;=90% for no a.s.</t>
  </si>
  <si>
    <r>
      <t>Conduct a RA based on single-substance toxicity data (EC</t>
    </r>
    <r>
      <rPr>
        <vertAlign val="subscript"/>
        <sz val="14"/>
        <color indexed="8"/>
        <rFont val="Calibri"/>
        <family val="2"/>
      </rPr>
      <t>x a.s.</t>
    </r>
    <r>
      <rPr>
        <sz val="14"/>
        <color indexed="8"/>
        <rFont val="Calibri"/>
        <family val="2"/>
      </rPr>
      <t>) for the identified ‘driver‘ of mixture toxicity, with the exposure-toxicity ratio (ETR</t>
    </r>
    <r>
      <rPr>
        <vertAlign val="subscript"/>
        <sz val="14"/>
        <color indexed="8"/>
        <rFont val="Calibri"/>
        <family val="2"/>
      </rPr>
      <t>a.s.</t>
    </r>
    <r>
      <rPr>
        <sz val="14"/>
        <color indexed="8"/>
        <rFont val="Calibri"/>
        <family val="2"/>
      </rPr>
      <t>) being defined as the PECa.s. divided by the measured EC</t>
    </r>
    <r>
      <rPr>
        <vertAlign val="subscript"/>
        <sz val="14"/>
        <color indexed="8"/>
        <rFont val="Calibri"/>
        <family val="2"/>
      </rPr>
      <t>x a.s.</t>
    </r>
    <r>
      <rPr>
        <sz val="14"/>
        <color indexed="8"/>
        <rFont val="Calibri"/>
        <family val="2"/>
      </rPr>
      <t xml:space="preserve"> and compare the outcome with the acceptability criterion (trigger value) decisive for the specific endpoint/exposure scenario combination.</t>
    </r>
  </si>
  <si>
    <t>Is there evidence that synergistic interactions between mixture components might occur (e.g. based on toxicological knowledge from literature or from counter-checking measured and calculated mixture toxicity in other species) which cannot be ruled out for the given species with sufficient certainty?</t>
  </si>
  <si>
    <t xml:space="preserve">Yes (mixture toxicity calculation not feasible): Measured mixture toxicity data required for RA (if becoming available): </t>
  </si>
  <si>
    <t>Conduct a mixture RA based on calculated mixture toxicity according to 10.3.8</t>
  </si>
  <si>
    <r>
      <t>Check whether one mixture component clearly drives the toxicity if considering the measured mixture toxicity (EC</t>
    </r>
    <r>
      <rPr>
        <vertAlign val="subscript"/>
        <sz val="14"/>
        <color indexed="8"/>
        <rFont val="Calibri"/>
        <family val="2"/>
      </rPr>
      <t>x PPP</t>
    </r>
    <r>
      <rPr>
        <sz val="14"/>
        <color indexed="8"/>
        <rFont val="Calibri"/>
        <family val="2"/>
      </rPr>
      <t>), that is, does the largest part of the sum of toxic units (Equation 14) calculated for the formulation (≥ 90 %) comes from a single a.s. (TU</t>
    </r>
    <r>
      <rPr>
        <vertAlign val="subscript"/>
        <sz val="14"/>
        <color indexed="8"/>
        <rFont val="Calibri"/>
        <family val="2"/>
      </rPr>
      <t>i</t>
    </r>
    <r>
      <rPr>
        <sz val="14"/>
        <color indexed="8"/>
        <rFont val="Calibri"/>
        <family val="2"/>
      </rPr>
      <t>)?</t>
    </r>
  </si>
  <si>
    <r>
      <t>Carefully recheck the apparent antagonism as observed in the measured mixture toxicity data (EC</t>
    </r>
    <r>
      <rPr>
        <vertAlign val="subscript"/>
        <sz val="14"/>
        <color indexed="8"/>
        <rFont val="Calibri"/>
        <family val="2"/>
      </rPr>
      <t>x PPP</t>
    </r>
    <r>
      <rPr>
        <sz val="14"/>
        <color indexed="8"/>
        <rFont val="Calibri"/>
        <family val="2"/>
      </rPr>
      <t>) regarding potential impacts of the default assumption of CA and/or heterogeneous input data used for the CA calculation. Does the apparent antagonism remain and no toxicologically plausible explanation is available (e.g. special feature of the formulation type)?</t>
    </r>
  </si>
  <si>
    <r>
      <t>Carefully recheck the apparent synergism as observed in the measured mixture toxicity data (EC</t>
    </r>
    <r>
      <rPr>
        <vertAlign val="subscript"/>
        <sz val="14"/>
        <color indexed="8"/>
        <rFont val="Calibri"/>
        <family val="2"/>
      </rPr>
      <t>x PPP</t>
    </r>
    <r>
      <rPr>
        <sz val="14"/>
        <color indexed="8"/>
        <rFont val="Calibri"/>
        <family val="2"/>
      </rPr>
      <t>) regarding potential impacts of heterogeneous input data (a.s.) and of co-formulants ignored in the CA calculation. Does the apparent synergism remain?</t>
    </r>
  </si>
  <si>
    <t xml:space="preserve">The refinement is conducted by taking into account FOCUS PECsw values for AAA (Step 3), BBB (Step 1) and CCC (Step 2) (see Table 10.2-8). No unacceptable risk to aquatic invertebrates is expected from the exposure to the combined active substances following proposed uses of the product.
</t>
  </si>
  <si>
    <t xml:space="preserve">
The refinement is conducted by taking into account FOCUS PECsw values for AAA (Step 3), BBB (Step 1) and CCC (Step 2) (see Table 10.2-8). No unacceptable risk to aquatic invertebrates is expected from the exposure to the combined active substances following proposed uses of the product.
</t>
  </si>
  <si>
    <t>Template for the RR (example)</t>
  </si>
  <si>
    <r>
      <t xml:space="preserve">
The calculated factors fall outside 0.8-1.2 for each organism (see Table 10.2-6), indicating that the mixture composition in the formulation study giving the measured mixture toxicity is not similar to the mixture composition at the PEC</t>
    </r>
    <r>
      <rPr>
        <i/>
        <vertAlign val="subscript"/>
        <sz val="14"/>
        <color indexed="8"/>
        <rFont val="Calibri"/>
        <family val="2"/>
      </rPr>
      <t>mix</t>
    </r>
    <r>
      <rPr>
        <i/>
        <sz val="14"/>
        <color indexed="8"/>
        <rFont val="Calibri"/>
        <family val="2"/>
      </rPr>
      <t xml:space="preserve">.
</t>
    </r>
  </si>
  <si>
    <r>
      <t>With regard to the mixture risk assessment EFSA further states that if the toxicity of the mixture is largely explained by the toxicity of a single active substance, a sufficient protection level might be achieved by simply basing the RA on the toxicity data for that single ‘driver̕. 
Regarding the product, no active substance is clearly driving the acute risk for fish, daphnia and algae. The studies performed with the formulated product do not reflect the toxicity of one particular active substance, as the formulation toxicity – endpoint recalculated to each active substance concentrations – does not come for 90 % (of more) from the toxicity per fraction of a single a.s. (TU</t>
    </r>
    <r>
      <rPr>
        <i/>
        <vertAlign val="subscript"/>
        <sz val="14"/>
        <color indexed="8"/>
        <rFont val="Calibri"/>
        <family val="2"/>
      </rPr>
      <t>i</t>
    </r>
    <r>
      <rPr>
        <i/>
        <sz val="14"/>
        <color indexed="8"/>
        <rFont val="Calibri"/>
        <family val="2"/>
      </rPr>
      <t xml:space="preserve">) (see Table 10.2-7).
</t>
    </r>
  </si>
  <si>
    <t>Yes:</t>
  </si>
  <si>
    <t>If measured data are not available or if the assessment in point 3 indicates that the mixtures are not similar (use modified ETR trigger values, see section 10.3.4):</t>
  </si>
  <si>
    <t>No:</t>
  </si>
  <si>
    <t>Nominal [g a.s./kg or L product]</t>
  </si>
  <si>
    <t xml:space="preserve">Exposure tier (FOCUS step) </t>
  </si>
  <si>
    <t>Substance A</t>
  </si>
  <si>
    <t>Substance B</t>
  </si>
  <si>
    <t>PECsw [mg a.s./L]</t>
  </si>
  <si>
    <r>
      <t>Parameters</t>
    </r>
    <r>
      <rPr>
        <sz val="14"/>
        <color indexed="8"/>
        <rFont val="Calibri"/>
        <family val="2"/>
      </rPr>
      <t xml:space="preserve"> (green boxes: input parameters, grey boxes: calculation, green text: acceptable risk, red text: unacceptable risk)</t>
    </r>
  </si>
  <si>
    <r>
      <t>Relative
proportions of the individual mixture components in the environment (p</t>
    </r>
    <r>
      <rPr>
        <vertAlign val="subscript"/>
        <sz val="14"/>
        <color indexed="8"/>
        <rFont val="Calibri"/>
        <family val="2"/>
      </rPr>
      <t>i PEC</t>
    </r>
    <r>
      <rPr>
        <sz val="14"/>
        <color indexed="8"/>
        <rFont val="Calibri"/>
        <family val="2"/>
      </rPr>
      <t>)</t>
    </r>
  </si>
  <si>
    <r>
      <t>p</t>
    </r>
    <r>
      <rPr>
        <vertAlign val="subscript"/>
        <sz val="14"/>
        <color indexed="8"/>
        <rFont val="Calibri"/>
        <family val="2"/>
      </rPr>
      <t>i mix</t>
    </r>
    <r>
      <rPr>
        <sz val="14"/>
        <color indexed="8"/>
        <rFont val="Calibri"/>
        <family val="2"/>
      </rPr>
      <t xml:space="preserve"> = Fraction of active substance i in the mixture with ∑ p</t>
    </r>
    <r>
      <rPr>
        <vertAlign val="subscript"/>
        <sz val="14"/>
        <color indexed="8"/>
        <rFont val="Calibri"/>
        <family val="2"/>
      </rPr>
      <t>i mix</t>
    </r>
    <r>
      <rPr>
        <sz val="14"/>
        <color indexed="8"/>
        <rFont val="Calibri"/>
        <family val="2"/>
      </rPr>
      <t xml:space="preserve"> = 100 [%]</t>
    </r>
  </si>
  <si>
    <r>
      <t>Calculated mixture toxicity (a.s. in PEC</t>
    </r>
    <r>
      <rPr>
        <vertAlign val="subscript"/>
        <sz val="14"/>
        <color indexed="8"/>
        <rFont val="Calibri"/>
        <family val="2"/>
      </rPr>
      <t>mix</t>
    </r>
    <r>
      <rPr>
        <sz val="14"/>
        <color indexed="8"/>
        <rFont val="Calibri"/>
        <family val="2"/>
      </rPr>
      <t>) (EC</t>
    </r>
    <r>
      <rPr>
        <vertAlign val="subscript"/>
        <sz val="14"/>
        <color indexed="8"/>
        <rFont val="Calibri"/>
        <family val="2"/>
      </rPr>
      <t>x mix-CA</t>
    </r>
    <r>
      <rPr>
        <sz val="14"/>
        <color indexed="8"/>
        <rFont val="Calibri"/>
        <family val="2"/>
      </rPr>
      <t xml:space="preserve"> = ∑ (p</t>
    </r>
    <r>
      <rPr>
        <vertAlign val="subscript"/>
        <sz val="14"/>
        <color indexed="8"/>
        <rFont val="Calibri"/>
        <family val="2"/>
      </rPr>
      <t>i PEC</t>
    </r>
    <r>
      <rPr>
        <sz val="14"/>
        <color indexed="8"/>
        <rFont val="Calibri"/>
        <family val="2"/>
      </rPr>
      <t>/EC</t>
    </r>
    <r>
      <rPr>
        <vertAlign val="subscript"/>
        <sz val="14"/>
        <color indexed="8"/>
        <rFont val="Calibri"/>
        <family val="2"/>
      </rPr>
      <t>x i</t>
    </r>
    <r>
      <rPr>
        <sz val="14"/>
        <color indexed="8"/>
        <rFont val="Calibri"/>
        <family val="2"/>
      </rPr>
      <t>)) [mg a.s./L]</t>
    </r>
  </si>
  <si>
    <r>
      <t>Toxicity of the a.s. A (EC</t>
    </r>
    <r>
      <rPr>
        <vertAlign val="subscript"/>
        <sz val="14"/>
        <color indexed="8"/>
        <rFont val="Calibri"/>
        <family val="2"/>
      </rPr>
      <t>x A</t>
    </r>
    <r>
      <rPr>
        <sz val="14"/>
        <color indexed="8"/>
        <rFont val="Calibri"/>
        <family val="2"/>
      </rPr>
      <t>) [mg a.s./L]</t>
    </r>
  </si>
  <si>
    <r>
      <t>Toxicity of the a.s. B (EC</t>
    </r>
    <r>
      <rPr>
        <vertAlign val="subscript"/>
        <sz val="14"/>
        <color indexed="8"/>
        <rFont val="Calibri"/>
        <family val="2"/>
      </rPr>
      <t>x B</t>
    </r>
    <r>
      <rPr>
        <sz val="14"/>
        <color indexed="8"/>
        <rFont val="Calibri"/>
        <family val="2"/>
      </rPr>
      <t>) [mg a.s./L]</t>
    </r>
  </si>
  <si>
    <r>
      <t>Toxicity of the a.s. C (EC</t>
    </r>
    <r>
      <rPr>
        <vertAlign val="subscript"/>
        <sz val="14"/>
        <color indexed="8"/>
        <rFont val="Calibri"/>
        <family val="2"/>
      </rPr>
      <t>x C</t>
    </r>
    <r>
      <rPr>
        <sz val="14"/>
        <color indexed="8"/>
        <rFont val="Calibri"/>
        <family val="2"/>
      </rPr>
      <t>) [mg a.s./L]</t>
    </r>
  </si>
  <si>
    <t>Triggers (from EFSA Journal 2013;11(7):3290)</t>
  </si>
  <si>
    <r>
      <t>Calculated mixture toxicity (a.s. in PEC</t>
    </r>
    <r>
      <rPr>
        <vertAlign val="subscript"/>
        <sz val="14"/>
        <color indexed="8"/>
        <rFont val="Calibri"/>
        <family val="2"/>
      </rPr>
      <t>mix</t>
    </r>
    <r>
      <rPr>
        <sz val="14"/>
        <color indexed="8"/>
        <rFont val="Calibri"/>
        <family val="2"/>
      </rPr>
      <t>) (EC</t>
    </r>
    <r>
      <rPr>
        <vertAlign val="subscript"/>
        <sz val="14"/>
        <color indexed="8"/>
        <rFont val="Calibri"/>
        <family val="2"/>
      </rPr>
      <t>x mix-CA</t>
    </r>
    <r>
      <rPr>
        <sz val="14"/>
        <color indexed="8"/>
        <rFont val="Calibri"/>
        <family val="2"/>
      </rPr>
      <t xml:space="preserve"> = 1/∑ (p</t>
    </r>
    <r>
      <rPr>
        <vertAlign val="subscript"/>
        <sz val="14"/>
        <color indexed="8"/>
        <rFont val="Calibri"/>
        <family val="2"/>
      </rPr>
      <t>i PEC</t>
    </r>
    <r>
      <rPr>
        <sz val="14"/>
        <color indexed="8"/>
        <rFont val="Calibri"/>
        <family val="2"/>
      </rPr>
      <t>/EC</t>
    </r>
    <r>
      <rPr>
        <vertAlign val="subscript"/>
        <sz val="14"/>
        <color indexed="8"/>
        <rFont val="Calibri"/>
        <family val="2"/>
      </rPr>
      <t>x i</t>
    </r>
    <r>
      <rPr>
        <sz val="14"/>
        <color indexed="8"/>
        <rFont val="Calibri"/>
        <family val="2"/>
      </rPr>
      <t>)) [mg a.s./L]</t>
    </r>
  </si>
  <si>
    <t>Substance C</t>
  </si>
  <si>
    <r>
      <t>Toxicity per fraction of the a.s. A (1/TU</t>
    </r>
    <r>
      <rPr>
        <vertAlign val="subscript"/>
        <sz val="14"/>
        <color indexed="8"/>
        <rFont val="Calibri"/>
        <family val="2"/>
      </rPr>
      <t>A</t>
    </r>
    <r>
      <rPr>
        <sz val="14"/>
        <color indexed="8"/>
        <rFont val="Calibri"/>
        <family val="2"/>
      </rPr>
      <t>) [mg a.s./L]</t>
    </r>
  </si>
  <si>
    <r>
      <t>Toxicity per fraction of the a.s. B (1/TU</t>
    </r>
    <r>
      <rPr>
        <vertAlign val="subscript"/>
        <sz val="14"/>
        <color indexed="8"/>
        <rFont val="Calibri"/>
        <family val="2"/>
      </rPr>
      <t>B</t>
    </r>
    <r>
      <rPr>
        <sz val="14"/>
        <color indexed="8"/>
        <rFont val="Calibri"/>
        <family val="2"/>
      </rPr>
      <t>) [mg a.s./L]</t>
    </r>
  </si>
  <si>
    <r>
      <t>Toxicity per fraction of the a.s. C (1/TU</t>
    </r>
    <r>
      <rPr>
        <vertAlign val="subscript"/>
        <sz val="14"/>
        <color indexed="8"/>
        <rFont val="Calibri"/>
        <family val="2"/>
      </rPr>
      <t>C</t>
    </r>
    <r>
      <rPr>
        <sz val="14"/>
        <color indexed="8"/>
        <rFont val="Calibri"/>
        <family val="2"/>
      </rPr>
      <t>) [mg a.s./L]</t>
    </r>
  </si>
  <si>
    <t>PPP</t>
  </si>
  <si>
    <t>example: different species of algae</t>
  </si>
  <si>
    <r>
      <t>example: LC</t>
    </r>
    <r>
      <rPr>
        <i/>
        <vertAlign val="subscript"/>
        <sz val="14"/>
        <color indexed="8"/>
        <rFont val="Calibri"/>
        <family val="2"/>
      </rPr>
      <t>50</t>
    </r>
    <r>
      <rPr>
        <i/>
        <sz val="14"/>
        <color indexed="8"/>
        <rFont val="Calibri"/>
        <family val="2"/>
      </rPr>
      <t xml:space="preserve"> fish is a "higher than" value</t>
    </r>
  </si>
  <si>
    <t>Step 3 (D2 ditch)</t>
  </si>
  <si>
    <t>Step3 (R3 stream)</t>
  </si>
  <si>
    <t>The calculated MDR values are between 0.2 and 5 for each organism except fish and daphnia (see Table 10.2-4), indicating that the formulation does not cause an (unexpected) increased toxicity compared to the active substances for these organisms. No synergisms or additional toxicity occurs due to the co-formulants. The apparent antagonism for fish and daphnia (toxicity of the formulation lower than expected) can be explained by the fact that endpoints for individual active substances are "higher than" values.</t>
  </si>
  <si>
    <r>
      <t>Deviation from mixture toxicity = 1-EC</t>
    </r>
    <r>
      <rPr>
        <vertAlign val="subscript"/>
        <sz val="14"/>
        <color indexed="8"/>
        <rFont val="Calibri"/>
        <family val="2"/>
      </rPr>
      <t>x mix-CA</t>
    </r>
    <r>
      <rPr>
        <sz val="14"/>
        <color indexed="8"/>
        <rFont val="Calibri"/>
        <family val="2"/>
      </rPr>
      <t xml:space="preserve"> x (1/EC</t>
    </r>
    <r>
      <rPr>
        <vertAlign val="subscript"/>
        <sz val="14"/>
        <color indexed="8"/>
        <rFont val="Calibri"/>
        <family val="2"/>
      </rPr>
      <t>x mix-CA</t>
    </r>
    <r>
      <rPr>
        <sz val="14"/>
        <color indexed="8"/>
        <rFont val="Calibri"/>
        <family val="2"/>
      </rPr>
      <t>-TU</t>
    </r>
    <r>
      <rPr>
        <vertAlign val="subscript"/>
        <sz val="14"/>
        <color indexed="8"/>
        <rFont val="Calibri"/>
        <family val="2"/>
      </rPr>
      <t>i</t>
    </r>
    <r>
      <rPr>
        <sz val="14"/>
        <color indexed="8"/>
        <rFont val="Calibri"/>
        <family val="2"/>
      </rPr>
      <t>) [%]</t>
    </r>
  </si>
  <si>
    <r>
      <t>Regarding PPP, no active substance is clearly driving the acute risk for and algae and Myriophyllum spicatum. The studies performed with the formulated product PPP do not reflect the toxicity of one particular active substance, as the formulation toxicity – endpoint recalculated to each active substance concentrations – does not come for 90 % (of more) from the toxicity per fraction of a single a.s. (TU</t>
    </r>
    <r>
      <rPr>
        <i/>
        <vertAlign val="subscript"/>
        <sz val="14"/>
        <color indexed="8"/>
        <rFont val="Calibri"/>
        <family val="2"/>
      </rPr>
      <t>i</t>
    </r>
    <r>
      <rPr>
        <i/>
        <sz val="14"/>
        <color indexed="8"/>
        <rFont val="Calibri"/>
        <family val="2"/>
      </rPr>
      <t>) (see Table 10.2-6). Regarding fish, daphnia and Lemna gibba, the risk assessments based on single-substance toxicity data for AAA, AAA and BBB respectively are sufficient given that they were identified as the drivers of the mixture toxicity.</t>
    </r>
  </si>
  <si>
    <t>Step 4 (10 m BZ, R1 stream)</t>
  </si>
  <si>
    <t>Step 4 (10 m BZ, R3 stream)</t>
  </si>
  <si>
    <t>Step 4 (20 m BZ, R3 stream)</t>
  </si>
  <si>
    <t xml:space="preserve">The refinement is conducted by taking into account FOCUS PECsw values for AAA (Step 3) and BBB (Step 3 and Step 4) (see Table 10.2-7). An acceptable risk to algae and an unacceptable risk to Myriophyllum spicatum are expected from the exposure to the combined active substances following proposed uses of PPP taking into account FOCUS Step 3 PECsw values for scenarios other than D1 and D2. This is not considered to be indicative of a real risk for aquatic plants from BBB in the countries of the Central and Southern European Zones. Indeed the D1 scenario is representative of climatic conditions of Northern Europe (Scandinavian countries) and the D2 scenario represents &lt;1% of the drained cereal growing land in Europe.
Taking into account FOCUS Step 3 PECsw values for AAA and FOCUS Step 4 PECsw values resulting from a 20 m buffer zone for BBB (in both cases for scenarios other than D1 and D2) the risk in winter cereals is acceptable for Myriophyllum spicatum exposed to the combined active substances following proposed uses of PPP.
</t>
  </si>
  <si>
    <r>
      <t>Calculated mixture toxicity (a.s. in product) (EC</t>
    </r>
    <r>
      <rPr>
        <vertAlign val="subscript"/>
        <sz val="14"/>
        <color indexed="8"/>
        <rFont val="Calibri"/>
        <family val="2"/>
      </rPr>
      <t>x mix-CA</t>
    </r>
    <r>
      <rPr>
        <sz val="14"/>
        <color indexed="8"/>
        <rFont val="Calibri"/>
        <family val="2"/>
      </rPr>
      <t xml:space="preserve"> = 1/∑ (TU</t>
    </r>
    <r>
      <rPr>
        <vertAlign val="subscript"/>
        <sz val="14"/>
        <color indexed="8"/>
        <rFont val="Calibri"/>
        <family val="2"/>
      </rPr>
      <t>i</t>
    </r>
    <r>
      <rPr>
        <sz val="14"/>
        <color indexed="8"/>
        <rFont val="Calibri"/>
        <family val="2"/>
      </rPr>
      <t>)) [mg a.s./L]</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</si>
</sst>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
    <numFmt numFmtId="167" formatCode="0.000000"/>
  </numFmts>
  <fonts count="49">
    <font>
      <sz val="11"/>
      <color theme="1"/>
      <name val="Calibri"/>
      <family val="2"/>
    </font>
    <font>
      <sz val="11"/>
      <color indexed="8"/>
      <name val="Calibri"/>
      <family val="2"/>
    </font>
    <font>
      <b/>
      <sz val="11"/>
      <color indexed="8"/>
      <name val="Calibri"/>
      <family val="2"/>
    </font>
    <font>
      <u val="single"/>
      <sz val="11"/>
      <color indexed="12"/>
      <name val="Calibri"/>
      <family val="2"/>
    </font>
    <font>
      <sz val="14"/>
      <color indexed="8"/>
      <name val="Calibri"/>
      <family val="2"/>
    </font>
    <font>
      <b/>
      <sz val="14"/>
      <color indexed="8"/>
      <name val="Calibri"/>
      <family val="2"/>
    </font>
    <font>
      <vertAlign val="superscript"/>
      <sz val="14"/>
      <color indexed="8"/>
      <name val="Calibri"/>
      <family val="2"/>
    </font>
    <font>
      <vertAlign val="subscript"/>
      <sz val="14"/>
      <color indexed="8"/>
      <name val="Calibri"/>
      <family val="2"/>
    </font>
    <font>
      <u val="single"/>
      <sz val="14"/>
      <color indexed="12"/>
      <name val="Calibri"/>
      <family val="2"/>
    </font>
    <font>
      <sz val="14"/>
      <color indexed="10"/>
      <name val="Calibri"/>
      <family val="2"/>
    </font>
    <font>
      <i/>
      <sz val="14"/>
      <color indexed="8"/>
      <name val="Calibri"/>
      <family val="2"/>
    </font>
    <font>
      <i/>
      <vertAlign val="subscript"/>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4"/>
      <color theme="1"/>
      <name val="Calibri"/>
      <family val="2"/>
    </font>
    <font>
      <u val="single"/>
      <sz val="14"/>
      <color theme="10"/>
      <name val="Calibri"/>
      <family val="2"/>
    </font>
    <font>
      <sz val="14"/>
      <color rgb="FFFF0000"/>
      <name val="Calibri"/>
      <family val="2"/>
    </font>
    <font>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B0F0"/>
        <bgColor indexed="64"/>
      </patternFill>
    </fill>
    <fill>
      <patternFill patternType="solid">
        <fgColor rgb="FF92D050"/>
        <bgColor indexed="64"/>
      </patternFill>
    </fill>
    <fill>
      <patternFill patternType="solid">
        <fgColor theme="0" tint="-0.34997999668121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right/>
      <top style="thin"/>
      <bottom style="thin"/>
    </border>
    <border>
      <left/>
      <right style="thin"/>
      <top/>
      <bottom/>
    </border>
    <border>
      <left/>
      <right/>
      <top/>
      <bottom style="thin"/>
    </border>
    <border>
      <left/>
      <right style="thin"/>
      <top/>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112">
    <xf numFmtId="0" fontId="0" fillId="0" borderId="0" xfId="0" applyFont="1" applyAlignment="1">
      <alignment/>
    </xf>
    <xf numFmtId="0" fontId="0" fillId="0" borderId="0" xfId="0" applyAlignment="1">
      <alignment vertical="center"/>
    </xf>
    <xf numFmtId="0" fontId="0" fillId="0" borderId="0" xfId="0" applyAlignment="1">
      <alignment vertical="center" wrapText="1"/>
    </xf>
    <xf numFmtId="0" fontId="0" fillId="0" borderId="10" xfId="0" applyFill="1" applyBorder="1" applyAlignment="1">
      <alignment vertical="center"/>
    </xf>
    <xf numFmtId="0" fontId="40" fillId="19" borderId="10" xfId="0" applyFont="1" applyFill="1" applyBorder="1" applyAlignment="1">
      <alignment vertical="center" wrapText="1"/>
    </xf>
    <xf numFmtId="0" fontId="40" fillId="33" borderId="10" xfId="0" applyFont="1" applyFill="1" applyBorder="1" applyAlignment="1">
      <alignment vertical="center" wrapText="1"/>
    </xf>
    <xf numFmtId="0" fontId="40" fillId="33" borderId="10" xfId="0" applyFont="1" applyFill="1" applyBorder="1" applyAlignment="1">
      <alignment vertical="center"/>
    </xf>
    <xf numFmtId="0" fontId="0" fillId="0" borderId="10" xfId="0" applyFill="1" applyBorder="1" applyAlignment="1">
      <alignment vertical="center" wrapText="1"/>
    </xf>
    <xf numFmtId="0" fontId="0" fillId="34" borderId="10" xfId="0" applyFill="1" applyBorder="1" applyAlignment="1">
      <alignment vertical="center"/>
    </xf>
    <xf numFmtId="0" fontId="0" fillId="34" borderId="10" xfId="0" applyFill="1" applyBorder="1" applyAlignment="1">
      <alignment vertical="center" wrapText="1"/>
    </xf>
    <xf numFmtId="0" fontId="44" fillId="0" borderId="0" xfId="0"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0" fontId="44" fillId="0" borderId="10" xfId="0" applyFont="1" applyBorder="1" applyAlignment="1">
      <alignment vertical="center" wrapText="1"/>
    </xf>
    <xf numFmtId="0" fontId="45" fillId="0" borderId="10" xfId="0" applyFont="1" applyBorder="1" applyAlignment="1">
      <alignment vertical="center" wrapText="1"/>
    </xf>
    <xf numFmtId="0" fontId="45" fillId="0" borderId="10" xfId="0" applyFont="1" applyFill="1" applyBorder="1" applyAlignment="1">
      <alignment vertical="center" wrapText="1"/>
    </xf>
    <xf numFmtId="0" fontId="45" fillId="34" borderId="10" xfId="0" applyFont="1" applyFill="1" applyBorder="1" applyAlignment="1">
      <alignment vertical="center" wrapText="1"/>
    </xf>
    <xf numFmtId="0" fontId="45" fillId="35" borderId="10" xfId="0" applyFont="1" applyFill="1" applyBorder="1" applyAlignment="1">
      <alignment vertical="center" wrapText="1"/>
    </xf>
    <xf numFmtId="0" fontId="44" fillId="0" borderId="10" xfId="0" applyFont="1" applyFill="1" applyBorder="1" applyAlignment="1">
      <alignment vertical="center" wrapText="1"/>
    </xf>
    <xf numFmtId="0" fontId="45" fillId="34" borderId="11" xfId="0" applyFont="1" applyFill="1" applyBorder="1" applyAlignment="1">
      <alignment vertical="center" wrapText="1"/>
    </xf>
    <xf numFmtId="164" fontId="45" fillId="35" borderId="10" xfId="0" applyNumberFormat="1" applyFont="1" applyFill="1" applyBorder="1" applyAlignment="1">
      <alignment vertical="center" wrapText="1"/>
    </xf>
    <xf numFmtId="0" fontId="44" fillId="0" borderId="0" xfId="0" applyFont="1" applyBorder="1" applyAlignment="1">
      <alignment horizontal="left" vertical="center" wrapText="1"/>
    </xf>
    <xf numFmtId="0" fontId="45" fillId="0" borderId="10" xfId="0" applyFont="1" applyBorder="1" applyAlignment="1">
      <alignment vertical="center"/>
    </xf>
    <xf numFmtId="0" fontId="45" fillId="0" borderId="0" xfId="0" applyFont="1" applyBorder="1" applyAlignment="1">
      <alignment vertical="center" wrapText="1"/>
    </xf>
    <xf numFmtId="0" fontId="45" fillId="0" borderId="0" xfId="0" applyFont="1" applyFill="1" applyBorder="1" applyAlignment="1">
      <alignment vertical="center" wrapText="1"/>
    </xf>
    <xf numFmtId="0" fontId="45" fillId="0" borderId="0" xfId="0" applyFont="1" applyAlignment="1">
      <alignment/>
    </xf>
    <xf numFmtId="0" fontId="45" fillId="0" borderId="0" xfId="0" applyFont="1" applyBorder="1" applyAlignment="1">
      <alignment/>
    </xf>
    <xf numFmtId="0" fontId="44" fillId="0" borderId="0" xfId="0" applyFont="1" applyAlignment="1">
      <alignment/>
    </xf>
    <xf numFmtId="2" fontId="45" fillId="0" borderId="0" xfId="0" applyNumberFormat="1" applyFont="1" applyAlignment="1">
      <alignment vertical="center"/>
    </xf>
    <xf numFmtId="0" fontId="45" fillId="0" borderId="0" xfId="0" applyFont="1" applyAlignment="1">
      <alignment vertical="center" wrapText="1"/>
    </xf>
    <xf numFmtId="2" fontId="45" fillId="0" borderId="0" xfId="0" applyNumberFormat="1" applyFont="1" applyAlignment="1">
      <alignment vertical="center" wrapText="1"/>
    </xf>
    <xf numFmtId="0" fontId="45" fillId="0" borderId="0" xfId="0" applyFont="1" applyBorder="1" applyAlignment="1">
      <alignment/>
    </xf>
    <xf numFmtId="0" fontId="45" fillId="0" borderId="11" xfId="0" applyFont="1" applyBorder="1" applyAlignment="1">
      <alignment vertical="center" wrapText="1"/>
    </xf>
    <xf numFmtId="0" fontId="46" fillId="35" borderId="10" xfId="43" applyFont="1" applyFill="1" applyBorder="1" applyAlignment="1">
      <alignment horizontal="center" vertical="center" wrapText="1"/>
    </xf>
    <xf numFmtId="0" fontId="46" fillId="35" borderId="10" xfId="43" applyFont="1" applyFill="1" applyBorder="1" applyAlignment="1">
      <alignment horizontal="center"/>
    </xf>
    <xf numFmtId="2" fontId="45" fillId="35" borderId="10" xfId="0" applyNumberFormat="1" applyFont="1" applyFill="1" applyBorder="1" applyAlignment="1">
      <alignment horizontal="right" vertical="center" wrapText="1"/>
    </xf>
    <xf numFmtId="2"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4" fillId="0" borderId="0" xfId="0" applyFont="1" applyAlignment="1">
      <alignment vertical="center" wrapText="1"/>
    </xf>
    <xf numFmtId="0" fontId="45" fillId="0" borderId="11" xfId="0" applyFont="1" applyBorder="1" applyAlignment="1">
      <alignment horizontal="center" vertical="center" wrapText="1"/>
    </xf>
    <xf numFmtId="0" fontId="46" fillId="35" borderId="11" xfId="43" applyFont="1" applyFill="1" applyBorder="1" applyAlignment="1">
      <alignment horizontal="center"/>
    </xf>
    <xf numFmtId="2" fontId="45" fillId="0" borderId="12" xfId="0" applyNumberFormat="1" applyFont="1" applyBorder="1" applyAlignment="1">
      <alignment vertical="center"/>
    </xf>
    <xf numFmtId="0" fontId="45" fillId="0" borderId="12" xfId="0" applyFont="1" applyFill="1" applyBorder="1" applyAlignment="1">
      <alignment horizontal="center" vertical="center" wrapText="1"/>
    </xf>
    <xf numFmtId="0" fontId="46" fillId="0" borderId="12" xfId="43" applyFont="1" applyFill="1" applyBorder="1" applyAlignment="1">
      <alignment horizontal="center" vertical="center" wrapText="1"/>
    </xf>
    <xf numFmtId="0" fontId="45" fillId="0" borderId="10" xfId="0" applyFont="1" applyBorder="1" applyAlignment="1">
      <alignment vertical="center" wrapText="1"/>
    </xf>
    <xf numFmtId="2" fontId="45" fillId="0" borderId="12" xfId="0" applyNumberFormat="1" applyFont="1" applyBorder="1" applyAlignment="1">
      <alignment vertical="center" wrapText="1"/>
    </xf>
    <xf numFmtId="0" fontId="45" fillId="0" borderId="0" xfId="0" applyFont="1" applyBorder="1" applyAlignment="1">
      <alignment vertical="center"/>
    </xf>
    <xf numFmtId="2" fontId="45" fillId="0" borderId="0" xfId="0" applyNumberFormat="1" applyFont="1" applyBorder="1" applyAlignment="1">
      <alignment vertical="center" wrapText="1"/>
    </xf>
    <xf numFmtId="164" fontId="45" fillId="35" borderId="10" xfId="0" applyNumberFormat="1" applyFont="1" applyFill="1" applyBorder="1" applyAlignment="1">
      <alignment horizontal="right" vertical="center" wrapText="1"/>
    </xf>
    <xf numFmtId="164" fontId="45" fillId="0" borderId="13" xfId="0" applyNumberFormat="1" applyFont="1" applyFill="1" applyBorder="1" applyAlignment="1">
      <alignment vertical="center" wrapText="1"/>
    </xf>
    <xf numFmtId="0" fontId="45" fillId="0" borderId="13" xfId="0" applyFont="1" applyBorder="1" applyAlignment="1">
      <alignment vertical="center" wrapText="1"/>
    </xf>
    <xf numFmtId="0" fontId="45" fillId="35" borderId="10" xfId="0" applyFont="1" applyFill="1" applyBorder="1" applyAlignment="1">
      <alignment horizontal="right" vertical="center" wrapText="1"/>
    </xf>
    <xf numFmtId="0" fontId="44" fillId="0" borderId="12" xfId="0" applyFont="1" applyBorder="1" applyAlignment="1">
      <alignment vertical="center" wrapText="1"/>
    </xf>
    <xf numFmtId="0" fontId="44" fillId="0" borderId="0" xfId="0" applyFont="1" applyBorder="1" applyAlignment="1">
      <alignment vertical="center" wrapText="1"/>
    </xf>
    <xf numFmtId="9" fontId="45" fillId="0" borderId="0" xfId="54" applyFont="1" applyAlignment="1">
      <alignment vertical="center" wrapText="1"/>
    </xf>
    <xf numFmtId="0" fontId="46" fillId="35" borderId="11" xfId="43" applyFont="1" applyFill="1" applyBorder="1" applyAlignment="1">
      <alignment horizontal="center" vertical="center"/>
    </xf>
    <xf numFmtId="164" fontId="45" fillId="35" borderId="11" xfId="0" applyNumberFormat="1" applyFont="1" applyFill="1" applyBorder="1" applyAlignment="1">
      <alignment horizontal="right" vertical="center" wrapText="1"/>
    </xf>
    <xf numFmtId="166" fontId="45" fillId="35" borderId="11" xfId="54" applyNumberFormat="1" applyFont="1" applyFill="1" applyBorder="1" applyAlignment="1">
      <alignment horizontal="right" vertical="center" wrapText="1"/>
    </xf>
    <xf numFmtId="0" fontId="45" fillId="0" borderId="10" xfId="0" applyFont="1" applyFill="1" applyBorder="1" applyAlignment="1">
      <alignment horizontal="center" vertical="center" wrapText="1"/>
    </xf>
    <xf numFmtId="0" fontId="47" fillId="0" borderId="0" xfId="0" applyFont="1" applyBorder="1" applyAlignment="1">
      <alignment vertical="center" wrapText="1"/>
    </xf>
    <xf numFmtId="0" fontId="46" fillId="0" borderId="10" xfId="43" applyFont="1" applyBorder="1" applyAlignment="1">
      <alignment horizontal="center" vertical="center" wrapText="1"/>
    </xf>
    <xf numFmtId="164" fontId="45" fillId="35" borderId="10" xfId="0" applyNumberFormat="1" applyFont="1" applyFill="1" applyBorder="1" applyAlignment="1">
      <alignment horizontal="right"/>
    </xf>
    <xf numFmtId="0" fontId="45" fillId="0" borderId="12" xfId="0" applyFont="1" applyBorder="1" applyAlignment="1">
      <alignment vertical="center" wrapText="1"/>
    </xf>
    <xf numFmtId="0" fontId="45" fillId="0" borderId="14" xfId="0" applyFont="1" applyBorder="1" applyAlignment="1">
      <alignment vertical="center" wrapText="1"/>
    </xf>
    <xf numFmtId="167" fontId="45" fillId="35" borderId="10" xfId="0" applyNumberFormat="1" applyFont="1" applyFill="1" applyBorder="1" applyAlignment="1">
      <alignment vertical="center" wrapText="1"/>
    </xf>
    <xf numFmtId="167" fontId="45" fillId="34" borderId="10" xfId="0" applyNumberFormat="1" applyFont="1" applyFill="1" applyBorder="1" applyAlignment="1">
      <alignment vertical="center" wrapText="1"/>
    </xf>
    <xf numFmtId="167" fontId="45" fillId="35" borderId="10" xfId="0" applyNumberFormat="1" applyFont="1" applyFill="1" applyBorder="1" applyAlignment="1">
      <alignment horizontal="right" vertical="center"/>
    </xf>
    <xf numFmtId="0" fontId="48" fillId="0" borderId="0" xfId="0" applyFont="1" applyAlignment="1">
      <alignment vertical="center" wrapText="1"/>
    </xf>
    <xf numFmtId="0" fontId="44" fillId="0" borderId="15" xfId="0" applyFont="1" applyBorder="1" applyAlignment="1">
      <alignment vertical="center" wrapText="1"/>
    </xf>
    <xf numFmtId="166" fontId="45" fillId="35" borderId="10" xfId="54" applyNumberFormat="1" applyFont="1" applyFill="1" applyBorder="1" applyAlignment="1">
      <alignment horizontal="right" vertical="center" wrapText="1"/>
    </xf>
    <xf numFmtId="0" fontId="44" fillId="0" borderId="13" xfId="0" applyFont="1" applyBorder="1" applyAlignment="1">
      <alignment vertical="center" wrapText="1"/>
    </xf>
    <xf numFmtId="0" fontId="45" fillId="0" borderId="13" xfId="0" applyFont="1" applyBorder="1" applyAlignment="1">
      <alignment vertical="center"/>
    </xf>
    <xf numFmtId="0" fontId="45" fillId="0" borderId="15" xfId="0" applyFont="1" applyBorder="1" applyAlignment="1">
      <alignment vertical="center" wrapText="1"/>
    </xf>
    <xf numFmtId="0" fontId="45" fillId="0" borderId="16" xfId="0" applyFont="1" applyBorder="1" applyAlignment="1">
      <alignment vertical="center" wrapText="1"/>
    </xf>
    <xf numFmtId="0" fontId="45" fillId="0" borderId="17" xfId="0" applyFont="1" applyBorder="1" applyAlignment="1">
      <alignment vertical="center" wrapText="1"/>
    </xf>
    <xf numFmtId="165" fontId="45" fillId="0" borderId="0" xfId="0" applyNumberFormat="1" applyFont="1" applyFill="1" applyBorder="1" applyAlignment="1">
      <alignment vertical="center" wrapText="1"/>
    </xf>
    <xf numFmtId="0" fontId="45" fillId="0" borderId="12" xfId="0" applyFont="1" applyFill="1" applyBorder="1" applyAlignment="1">
      <alignment vertical="center" wrapText="1"/>
    </xf>
    <xf numFmtId="0" fontId="45" fillId="0" borderId="15" xfId="0" applyFont="1" applyFill="1" applyBorder="1" applyAlignment="1">
      <alignment vertical="center" wrapText="1"/>
    </xf>
    <xf numFmtId="0" fontId="45" fillId="0" borderId="13" xfId="0" applyFont="1" applyFill="1" applyBorder="1" applyAlignment="1">
      <alignment vertical="center" wrapText="1"/>
    </xf>
    <xf numFmtId="166" fontId="45" fillId="0" borderId="13" xfId="0" applyNumberFormat="1" applyFont="1" applyFill="1" applyBorder="1" applyAlignment="1">
      <alignmen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5" fillId="0" borderId="21" xfId="0" applyFont="1" applyBorder="1" applyAlignment="1">
      <alignment vertical="center" wrapText="1"/>
    </xf>
    <xf numFmtId="0" fontId="48" fillId="34" borderId="10" xfId="0" applyFont="1" applyFill="1" applyBorder="1" applyAlignment="1">
      <alignment vertical="center" wrapText="1"/>
    </xf>
    <xf numFmtId="10" fontId="45" fillId="35" borderId="11" xfId="54" applyNumberFormat="1" applyFont="1" applyFill="1" applyBorder="1" applyAlignment="1">
      <alignment horizontal="right" vertical="center" wrapText="1"/>
    </xf>
    <xf numFmtId="0" fontId="40" fillId="34" borderId="10" xfId="0" applyFont="1" applyFill="1" applyBorder="1" applyAlignment="1">
      <alignment horizontal="center" vertical="center"/>
    </xf>
    <xf numFmtId="0" fontId="40" fillId="19" borderId="10" xfId="0" applyFont="1" applyFill="1" applyBorder="1" applyAlignment="1">
      <alignment horizontal="center" vertical="center"/>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21" xfId="0" applyFont="1" applyBorder="1" applyAlignment="1">
      <alignment horizontal="center" vertical="center" wrapText="1"/>
    </xf>
    <xf numFmtId="0" fontId="44" fillId="0" borderId="10" xfId="0" applyFont="1" applyBorder="1" applyAlignment="1">
      <alignmen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5" fillId="0" borderId="11" xfId="0" applyFont="1" applyBorder="1" applyAlignment="1">
      <alignment/>
    </xf>
    <xf numFmtId="0" fontId="45" fillId="0" borderId="21" xfId="0" applyFont="1" applyBorder="1" applyAlignment="1">
      <alignment/>
    </xf>
    <xf numFmtId="0" fontId="45" fillId="0" borderId="0" xfId="0" applyFont="1" applyFill="1" applyBorder="1" applyAlignment="1">
      <alignment vertical="center"/>
    </xf>
    <xf numFmtId="0" fontId="48" fillId="0" borderId="0" xfId="0" applyFont="1" applyAlignment="1">
      <alignment vertical="center" wrapText="1"/>
    </xf>
    <xf numFmtId="0" fontId="45" fillId="0" borderId="0" xfId="0" applyFont="1" applyAlignment="1">
      <alignment horizontal="left" vertical="center" wrapText="1"/>
    </xf>
    <xf numFmtId="2" fontId="45" fillId="0" borderId="10" xfId="0" applyNumberFormat="1" applyFont="1" applyBorder="1" applyAlignment="1">
      <alignment horizontal="center" vertical="center"/>
    </xf>
    <xf numFmtId="2" fontId="45" fillId="0" borderId="11" xfId="0" applyNumberFormat="1" applyFont="1" applyBorder="1" applyAlignment="1">
      <alignment horizontal="center" vertical="center"/>
    </xf>
    <xf numFmtId="2" fontId="45" fillId="0" borderId="13" xfId="0" applyNumberFormat="1" applyFont="1" applyBorder="1" applyAlignment="1">
      <alignment horizontal="center" vertical="center"/>
    </xf>
    <xf numFmtId="0" fontId="45" fillId="0" borderId="0" xfId="0" applyFont="1" applyAlignment="1">
      <alignment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47" fillId="0" borderId="10" xfId="0" applyFont="1" applyBorder="1" applyAlignment="1">
      <alignment vertical="center" wrapText="1"/>
    </xf>
    <xf numFmtId="0" fontId="45" fillId="0" borderId="10" xfId="0" applyFont="1" applyBorder="1" applyAlignment="1">
      <alignment vertical="center" wrapText="1"/>
    </xf>
    <xf numFmtId="0" fontId="46" fillId="0" borderId="10" xfId="43" applyFont="1" applyBorder="1" applyAlignment="1">
      <alignment horizontal="center" vertical="center" wrapText="1"/>
    </xf>
    <xf numFmtId="0" fontId="45" fillId="0" borderId="10" xfId="0" applyFont="1" applyBorder="1" applyAlignment="1">
      <alignment horizontal="left" vertical="center" wrapText="1"/>
    </xf>
    <xf numFmtId="0" fontId="46" fillId="0" borderId="18" xfId="43" applyFont="1" applyBorder="1" applyAlignment="1">
      <alignment horizontal="center" vertical="center" wrapText="1"/>
    </xf>
    <xf numFmtId="0" fontId="46" fillId="0" borderId="19" xfId="43"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6">
    <dxf>
      <font>
        <color rgb="FFFF0000"/>
      </font>
    </dxf>
    <dxf>
      <font>
        <color rgb="FF00B050"/>
      </font>
    </dxf>
    <dxf>
      <font>
        <color rgb="FFFF0000"/>
      </font>
    </dxf>
    <dxf>
      <font>
        <color rgb="FF00B050"/>
      </font>
    </dxf>
    <dxf>
      <font>
        <color rgb="FF00B05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9"/>
  <sheetViews>
    <sheetView zoomScale="115" zoomScaleNormal="115" zoomScalePageLayoutView="0" workbookViewId="0" topLeftCell="A1">
      <pane xSplit="1" ySplit="1" topLeftCell="B15" activePane="bottomRight" state="frozen"/>
      <selection pane="topLeft" activeCell="A3" sqref="A3"/>
      <selection pane="topRight" activeCell="A1" sqref="A1"/>
      <selection pane="bottomLeft" activeCell="A11" sqref="A11"/>
      <selection pane="bottomRight" activeCell="F27" sqref="F27"/>
    </sheetView>
  </sheetViews>
  <sheetFormatPr defaultColWidth="11.421875" defaultRowHeight="15"/>
  <cols>
    <col min="1" max="1" width="42.8515625" style="2" customWidth="1"/>
    <col min="2" max="8" width="11.421875" style="1" customWidth="1"/>
    <col min="9" max="9" width="11.8515625" style="1" bestFit="1" customWidth="1"/>
    <col min="10" max="16384" width="11.421875" style="1" customWidth="1"/>
  </cols>
  <sheetData>
    <row r="1" spans="1:9" ht="15">
      <c r="A1" s="4" t="s">
        <v>42</v>
      </c>
      <c r="B1" s="86" t="s">
        <v>56</v>
      </c>
      <c r="C1" s="86"/>
      <c r="D1" s="86" t="s">
        <v>57</v>
      </c>
      <c r="E1" s="86"/>
      <c r="F1" s="86" t="s">
        <v>58</v>
      </c>
      <c r="G1" s="86"/>
      <c r="H1" s="87" t="s">
        <v>21</v>
      </c>
      <c r="I1" s="87"/>
    </row>
    <row r="2" spans="1:9" ht="15">
      <c r="A2" s="7" t="s">
        <v>47</v>
      </c>
      <c r="B2" s="8">
        <v>1500</v>
      </c>
      <c r="C2" s="3"/>
      <c r="D2" s="8">
        <v>248</v>
      </c>
      <c r="E2" s="3"/>
      <c r="F2" s="8">
        <v>800</v>
      </c>
      <c r="G2" s="3"/>
      <c r="H2" s="8">
        <f>B2+D2+F2</f>
        <v>2548</v>
      </c>
      <c r="I2" s="3"/>
    </row>
    <row r="3" spans="1:9" ht="30">
      <c r="A3" s="7" t="s">
        <v>37</v>
      </c>
      <c r="B3" s="8">
        <f>B2/($B2+$D2+$F2)</f>
        <v>0.5886970172684458</v>
      </c>
      <c r="C3" s="3"/>
      <c r="D3" s="8">
        <f>D2/($B2+$D2+$F2)</f>
        <v>0.09733124018838304</v>
      </c>
      <c r="E3" s="3"/>
      <c r="F3" s="8">
        <f>F2/($B2+$D2+$F2)</f>
        <v>0.3139717425431711</v>
      </c>
      <c r="G3" s="3"/>
      <c r="H3" s="3"/>
      <c r="I3" s="3"/>
    </row>
    <row r="4" spans="1:9" ht="75">
      <c r="A4" s="7" t="s">
        <v>48</v>
      </c>
      <c r="B4" s="8">
        <v>0.3073</v>
      </c>
      <c r="C4" s="3"/>
      <c r="D4" s="8">
        <v>0.0519</v>
      </c>
      <c r="E4" s="3"/>
      <c r="F4" s="8">
        <v>0.1782</v>
      </c>
      <c r="G4" s="3"/>
      <c r="H4" s="3"/>
      <c r="I4" s="3"/>
    </row>
    <row r="5" spans="1:9" ht="30">
      <c r="A5" s="7" t="s">
        <v>33</v>
      </c>
      <c r="B5" s="3">
        <v>16.2</v>
      </c>
      <c r="C5" s="3"/>
      <c r="D5" s="3">
        <v>16.2</v>
      </c>
      <c r="E5" s="3"/>
      <c r="F5" s="3">
        <v>16.2</v>
      </c>
      <c r="G5" s="3"/>
      <c r="H5" s="3">
        <v>16.2</v>
      </c>
      <c r="I5" s="3"/>
    </row>
    <row r="6" spans="1:9" ht="30">
      <c r="A6" s="9" t="s">
        <v>26</v>
      </c>
      <c r="B6" s="8">
        <v>14.3</v>
      </c>
      <c r="C6" s="3"/>
      <c r="D6" s="8">
        <v>14.3</v>
      </c>
      <c r="E6" s="3"/>
      <c r="F6" s="8">
        <v>14.3</v>
      </c>
      <c r="G6" s="3"/>
      <c r="H6" s="3"/>
      <c r="I6" s="3"/>
    </row>
    <row r="7" spans="1:9" ht="30">
      <c r="A7" s="9" t="s">
        <v>49</v>
      </c>
      <c r="B7" s="8">
        <v>7.8</v>
      </c>
      <c r="C7" s="3"/>
      <c r="D7" s="8">
        <v>7.8</v>
      </c>
      <c r="E7" s="3"/>
      <c r="F7" s="8">
        <v>7.8</v>
      </c>
      <c r="G7" s="3"/>
      <c r="H7" s="3"/>
      <c r="I7" s="3"/>
    </row>
    <row r="8" spans="1:9" ht="30">
      <c r="A8" s="9" t="s">
        <v>49</v>
      </c>
      <c r="B8" s="8">
        <v>4.2</v>
      </c>
      <c r="C8" s="3"/>
      <c r="D8" s="8">
        <v>4.2</v>
      </c>
      <c r="E8" s="3"/>
      <c r="F8" s="8">
        <v>4.2</v>
      </c>
      <c r="G8" s="3"/>
      <c r="H8" s="3"/>
      <c r="I8" s="3"/>
    </row>
    <row r="9" spans="1:9" ht="15">
      <c r="A9" s="9" t="s">
        <v>52</v>
      </c>
      <c r="B9" s="8">
        <f>7.5*0.44*0.25</f>
        <v>0.825</v>
      </c>
      <c r="C9" s="3"/>
      <c r="D9" s="8">
        <f>7.5*0.44*0.25</f>
        <v>0.825</v>
      </c>
      <c r="E9" s="3"/>
      <c r="F9" s="8">
        <f>7.5*0.44*0.25</f>
        <v>0.825</v>
      </c>
      <c r="G9" s="3"/>
      <c r="H9" s="3"/>
      <c r="I9" s="3"/>
    </row>
    <row r="10" spans="1:9" ht="15">
      <c r="A10" s="9" t="s">
        <v>53</v>
      </c>
      <c r="B10" s="8">
        <f>40.2*0.17*0.5</f>
        <v>3.4170000000000007</v>
      </c>
      <c r="C10" s="3"/>
      <c r="D10" s="8">
        <f>40.2*0.17*0.5</f>
        <v>3.4170000000000007</v>
      </c>
      <c r="E10" s="3"/>
      <c r="F10" s="8">
        <f>40.2*0.17*0.5</f>
        <v>3.4170000000000007</v>
      </c>
      <c r="G10" s="3"/>
      <c r="H10" s="3"/>
      <c r="I10" s="3"/>
    </row>
    <row r="11" spans="1:9" ht="15">
      <c r="A11" s="9" t="s">
        <v>54</v>
      </c>
      <c r="B11" s="8">
        <f>28.7*1.68*0.25</f>
        <v>12.053999999999998</v>
      </c>
      <c r="C11" s="3"/>
      <c r="D11" s="8">
        <f>28.7*1.68*0.25</f>
        <v>12.053999999999998</v>
      </c>
      <c r="E11" s="3"/>
      <c r="F11" s="8">
        <f>28.7*1.68*0.25</f>
        <v>12.053999999999998</v>
      </c>
      <c r="G11" s="3"/>
      <c r="H11" s="3"/>
      <c r="I11" s="3"/>
    </row>
    <row r="12" spans="1:9" ht="15">
      <c r="A12" s="9" t="s">
        <v>30</v>
      </c>
      <c r="B12" s="8">
        <v>1</v>
      </c>
      <c r="C12" s="3"/>
      <c r="D12" s="8">
        <v>1</v>
      </c>
      <c r="E12" s="3"/>
      <c r="F12" s="8">
        <v>1</v>
      </c>
      <c r="G12" s="3"/>
      <c r="H12" s="3">
        <v>1</v>
      </c>
      <c r="I12" s="3"/>
    </row>
    <row r="13" spans="1:9" ht="15">
      <c r="A13" s="9" t="s">
        <v>28</v>
      </c>
      <c r="B13" s="8">
        <v>1.9</v>
      </c>
      <c r="C13" s="3"/>
      <c r="D13" s="3"/>
      <c r="E13" s="3"/>
      <c r="F13" s="8">
        <v>5.2</v>
      </c>
      <c r="G13" s="3"/>
      <c r="H13" s="3"/>
      <c r="I13" s="3"/>
    </row>
    <row r="14" spans="1:9" ht="15">
      <c r="A14" s="9" t="s">
        <v>29</v>
      </c>
      <c r="B14" s="8">
        <v>0.53</v>
      </c>
      <c r="C14" s="3"/>
      <c r="D14" s="8">
        <v>0.53</v>
      </c>
      <c r="E14" s="3"/>
      <c r="F14" s="8">
        <v>0.53</v>
      </c>
      <c r="G14" s="3"/>
      <c r="H14" s="3">
        <v>0.53</v>
      </c>
      <c r="I14" s="3"/>
    </row>
    <row r="15" spans="1:9" ht="15">
      <c r="A15" s="9" t="s">
        <v>27</v>
      </c>
      <c r="B15" s="8">
        <f>+(1-EXP(-(LN(2)/B13)*21))/((LN(2)/B13)*21)</f>
        <v>0.1304680994335626</v>
      </c>
      <c r="C15" s="3"/>
      <c r="D15" s="3"/>
      <c r="E15" s="3"/>
      <c r="F15" s="8">
        <f>+(1-EXP(-(LN(2)/F13)*21))/((LN(2)/F13)*21)</f>
        <v>0.33549872253738816</v>
      </c>
      <c r="G15" s="3"/>
      <c r="H15" s="3"/>
      <c r="I15" s="3"/>
    </row>
    <row r="16" spans="1:9" ht="15">
      <c r="A16" s="7" t="s">
        <v>34</v>
      </c>
      <c r="B16" s="3">
        <f>B2/1000*B5*B12*B14</f>
        <v>12.879</v>
      </c>
      <c r="C16" s="3"/>
      <c r="D16" s="3">
        <f>D2/1000*D5*D12*D14</f>
        <v>2.129328</v>
      </c>
      <c r="E16" s="3"/>
      <c r="F16" s="3">
        <f>F2/1000*F5*F12*F14</f>
        <v>6.868800000000001</v>
      </c>
      <c r="G16" s="3"/>
      <c r="H16" s="3">
        <f>H2/1000*H5*H12*H14</f>
        <v>21.877128000000003</v>
      </c>
      <c r="I16" s="3"/>
    </row>
    <row r="17" spans="1:9" ht="15">
      <c r="A17" s="9" t="s">
        <v>32</v>
      </c>
      <c r="B17" s="8">
        <f>B2/1000*B6*B12*B14</f>
        <v>11.368500000000003</v>
      </c>
      <c r="C17" s="3"/>
      <c r="D17" s="8">
        <f>D2/1000*D6*D12*D14</f>
        <v>1.8795920000000002</v>
      </c>
      <c r="E17" s="3"/>
      <c r="F17" s="8">
        <f>F2/1000*F6*F12*F14</f>
        <v>6.063200000000001</v>
      </c>
      <c r="G17" s="3"/>
      <c r="H17" s="3"/>
      <c r="I17" s="8">
        <f>F17+D17+B17</f>
        <v>19.311292</v>
      </c>
    </row>
    <row r="18" spans="1:9" ht="30">
      <c r="A18" s="9" t="s">
        <v>31</v>
      </c>
      <c r="B18" s="8">
        <f>B2/1000*B6*B12*B15</f>
        <v>2.798540732849918</v>
      </c>
      <c r="C18" s="3"/>
      <c r="D18" s="8">
        <f>D2/1000*D6*D12*D14</f>
        <v>1.8795920000000002</v>
      </c>
      <c r="E18" s="3"/>
      <c r="F18" s="8">
        <f>F2/1000*F6*F12*F15</f>
        <v>3.838105385827721</v>
      </c>
      <c r="G18" s="3"/>
      <c r="H18" s="3"/>
      <c r="I18" s="8">
        <f>F18+D18+B18</f>
        <v>8.51623811867764</v>
      </c>
    </row>
    <row r="19" spans="1:9" ht="15">
      <c r="A19" s="9" t="s">
        <v>50</v>
      </c>
      <c r="B19" s="8">
        <f>B2/1000*B12*B14*B7</f>
        <v>6.2010000000000005</v>
      </c>
      <c r="C19" s="3"/>
      <c r="D19" s="8">
        <f>D2/1000*D12*D14*D7</f>
        <v>1.025232</v>
      </c>
      <c r="E19" s="3"/>
      <c r="F19" s="8">
        <f>F2/1000*F12*F14*F7</f>
        <v>3.3072000000000004</v>
      </c>
      <c r="G19" s="3"/>
      <c r="H19" s="3"/>
      <c r="I19" s="8">
        <f>F19+D19+B19</f>
        <v>10.533432000000001</v>
      </c>
    </row>
    <row r="20" spans="1:9" ht="30">
      <c r="A20" s="9" t="s">
        <v>51</v>
      </c>
      <c r="B20" s="8">
        <f>B2/1000*(B9*B14+B10*B14+B11*B15)*B12</f>
        <v>5.731383705858246</v>
      </c>
      <c r="C20" s="3"/>
      <c r="D20" s="8">
        <f>D2/1000*(D9*D14+D10*D14+D11*D14)*D12</f>
        <v>2.14194624</v>
      </c>
      <c r="E20" s="3"/>
      <c r="F20" s="8">
        <f>F2/1000*(F9*F14+F10*F15+F11*F15)*F12</f>
        <v>4.502200589100746</v>
      </c>
      <c r="G20" s="3"/>
      <c r="H20" s="3"/>
      <c r="I20" s="8">
        <f>F20+D20+B20</f>
        <v>12.375530534958992</v>
      </c>
    </row>
    <row r="21" spans="1:9" ht="15">
      <c r="A21" s="9" t="s">
        <v>55</v>
      </c>
      <c r="B21" s="8">
        <f>B2/1000*B12*B14*B8</f>
        <v>3.3390000000000004</v>
      </c>
      <c r="C21" s="3"/>
      <c r="D21" s="8">
        <f>D2/1000*D12*D14*D8</f>
        <v>0.552048</v>
      </c>
      <c r="E21" s="3"/>
      <c r="F21" s="8">
        <f>F2/1000*F12*F14*F8</f>
        <v>1.7808000000000002</v>
      </c>
      <c r="G21" s="3"/>
      <c r="H21" s="3"/>
      <c r="I21" s="8">
        <f>F21+D21+B21</f>
        <v>5.671848000000001</v>
      </c>
    </row>
    <row r="22" spans="1:9" ht="15">
      <c r="A22" s="5"/>
      <c r="B22" s="6" t="s">
        <v>22</v>
      </c>
      <c r="C22" s="6" t="s">
        <v>23</v>
      </c>
      <c r="D22" s="6" t="s">
        <v>22</v>
      </c>
      <c r="E22" s="6" t="s">
        <v>23</v>
      </c>
      <c r="F22" s="6" t="s">
        <v>22</v>
      </c>
      <c r="G22" s="6" t="s">
        <v>23</v>
      </c>
      <c r="H22" s="6" t="s">
        <v>22</v>
      </c>
      <c r="I22" s="6" t="s">
        <v>23</v>
      </c>
    </row>
    <row r="23" spans="1:9" ht="15">
      <c r="A23" s="7"/>
      <c r="B23" s="3"/>
      <c r="C23" s="3"/>
      <c r="D23" s="3"/>
      <c r="E23" s="3"/>
      <c r="F23" s="3"/>
      <c r="G23" s="3"/>
      <c r="H23" s="3"/>
      <c r="I23" s="3"/>
    </row>
    <row r="24" spans="1:9" ht="15">
      <c r="A24" s="7" t="s">
        <v>38</v>
      </c>
      <c r="B24" s="8">
        <v>644</v>
      </c>
      <c r="C24" s="3"/>
      <c r="D24" s="8">
        <v>5000</v>
      </c>
      <c r="E24" s="3"/>
      <c r="F24" s="8">
        <v>2140</v>
      </c>
      <c r="G24" s="3"/>
      <c r="H24" s="3">
        <v>4620</v>
      </c>
      <c r="I24" s="3"/>
    </row>
    <row r="25" spans="1:9" ht="30">
      <c r="A25" s="7" t="s">
        <v>39</v>
      </c>
      <c r="B25" s="8">
        <f>B24/B$3</f>
        <v>1093.9413333333334</v>
      </c>
      <c r="C25" s="3"/>
      <c r="D25" s="8">
        <f>D24/D$3</f>
        <v>51370.967741935485</v>
      </c>
      <c r="E25" s="3"/>
      <c r="F25" s="8">
        <f>F24/F$3</f>
        <v>6815.9</v>
      </c>
      <c r="G25" s="3"/>
      <c r="H25" s="3"/>
      <c r="I25" s="3"/>
    </row>
    <row r="26" spans="1:9" ht="30">
      <c r="A26" s="7" t="s">
        <v>40</v>
      </c>
      <c r="B26" s="3"/>
      <c r="C26" s="3"/>
      <c r="D26" s="3"/>
      <c r="E26" s="3"/>
      <c r="F26" s="3"/>
      <c r="G26" s="3"/>
      <c r="H26" s="8">
        <f>1/(1/B25+1/D25+1/F25)</f>
        <v>925.6620961210793</v>
      </c>
      <c r="I26" s="3"/>
    </row>
    <row r="27" spans="1:9" ht="30">
      <c r="A27" s="7" t="s">
        <v>43</v>
      </c>
      <c r="B27" s="8">
        <f>100*(B25-$H26)/$H26</f>
        <v>18.179337570093466</v>
      </c>
      <c r="C27" s="3"/>
      <c r="D27" s="8">
        <f>100*(D25-$H26)/$H26</f>
        <v>5449.645811058035</v>
      </c>
      <c r="E27" s="3"/>
      <c r="F27" s="8">
        <f>100*(F25-$H26)/$H26</f>
        <v>636.3270062111801</v>
      </c>
      <c r="G27" s="3"/>
      <c r="H27" s="3"/>
      <c r="I27" s="3"/>
    </row>
    <row r="28" spans="1:9" ht="45">
      <c r="A28" s="7" t="s">
        <v>46</v>
      </c>
      <c r="B28" s="8">
        <f>B24/B$4</f>
        <v>2095.6719817767653</v>
      </c>
      <c r="C28" s="3"/>
      <c r="D28" s="8">
        <f>D24/D$4</f>
        <v>96339.11368015414</v>
      </c>
      <c r="E28" s="3"/>
      <c r="F28" s="8">
        <f>F24/F$4</f>
        <v>12008.978675645343</v>
      </c>
      <c r="G28" s="3"/>
      <c r="H28" s="3"/>
      <c r="I28" s="3"/>
    </row>
    <row r="29" spans="1:9" ht="30">
      <c r="A29" s="7" t="s">
        <v>45</v>
      </c>
      <c r="B29" s="3"/>
      <c r="C29" s="3"/>
      <c r="D29" s="3"/>
      <c r="E29" s="3"/>
      <c r="F29" s="3"/>
      <c r="G29" s="3"/>
      <c r="H29" s="8">
        <f>1/(1/B28+1/D28+1/F28)</f>
        <v>1751.85057279819</v>
      </c>
      <c r="I29" s="3"/>
    </row>
    <row r="30" spans="1:9" ht="30">
      <c r="A30" s="7" t="s">
        <v>24</v>
      </c>
      <c r="B30" s="8">
        <v>36.4</v>
      </c>
      <c r="C30" s="3">
        <f>B30/B16</f>
        <v>2.82630639024769</v>
      </c>
      <c r="D30" s="8">
        <v>100</v>
      </c>
      <c r="E30" s="3">
        <f>D30/D16</f>
        <v>46.963173357979606</v>
      </c>
      <c r="F30" s="8">
        <v>37</v>
      </c>
      <c r="G30" s="3">
        <f>F30/F16</f>
        <v>5.38667598416026</v>
      </c>
      <c r="H30" s="3"/>
      <c r="I30" s="3"/>
    </row>
    <row r="31" spans="1:9" ht="30">
      <c r="A31" s="7" t="s">
        <v>36</v>
      </c>
      <c r="B31" s="8">
        <f>B30/B$3</f>
        <v>61.831466666666664</v>
      </c>
      <c r="C31" s="3"/>
      <c r="D31" s="8">
        <f>D30/D$3</f>
        <v>1027.4193548387098</v>
      </c>
      <c r="E31" s="3"/>
      <c r="F31" s="8">
        <f>F30/F$3</f>
        <v>117.845</v>
      </c>
      <c r="G31" s="3"/>
      <c r="H31" s="3"/>
      <c r="I31" s="3"/>
    </row>
    <row r="32" spans="1:9" ht="45">
      <c r="A32" s="7" t="s">
        <v>41</v>
      </c>
      <c r="B32" s="3"/>
      <c r="C32" s="3"/>
      <c r="D32" s="3"/>
      <c r="E32" s="3"/>
      <c r="F32" s="3"/>
      <c r="G32" s="3"/>
      <c r="H32" s="8">
        <f>1/(1/B31+1/D31+1/F31)</f>
        <v>39.01368693865434</v>
      </c>
      <c r="I32" s="8">
        <f>H32/I17</f>
        <v>2.020252551649798</v>
      </c>
    </row>
    <row r="33" spans="1:9" ht="45">
      <c r="A33" s="7" t="s">
        <v>41</v>
      </c>
      <c r="B33" s="3"/>
      <c r="C33" s="3"/>
      <c r="D33" s="3"/>
      <c r="E33" s="3"/>
      <c r="F33" s="3"/>
      <c r="G33" s="3"/>
      <c r="H33" s="8">
        <f>1/(1/B31+1/D31+1/F31)</f>
        <v>39.01368693865434</v>
      </c>
      <c r="I33" s="8">
        <f>H33/I19</f>
        <v>3.7037963446912965</v>
      </c>
    </row>
    <row r="34" spans="1:9" ht="45">
      <c r="A34" s="7" t="s">
        <v>41</v>
      </c>
      <c r="B34" s="3"/>
      <c r="C34" s="3"/>
      <c r="D34" s="3"/>
      <c r="E34" s="3"/>
      <c r="F34" s="3"/>
      <c r="G34" s="3"/>
      <c r="H34" s="8">
        <f>1/(1/B31+1/D31+1/F31)</f>
        <v>39.01368693865434</v>
      </c>
      <c r="I34" s="8">
        <f>H34/I21</f>
        <v>6.878478925855265</v>
      </c>
    </row>
    <row r="35" spans="1:9" ht="30">
      <c r="A35" s="7" t="s">
        <v>44</v>
      </c>
      <c r="B35" s="8">
        <f>100*(B31-$H32)/$H32</f>
        <v>58.486601801801804</v>
      </c>
      <c r="C35" s="3"/>
      <c r="D35" s="8">
        <f>100*(D31-$H32)/$H32</f>
        <v>2533.4843883230983</v>
      </c>
      <c r="E35" s="3"/>
      <c r="F35" s="8">
        <f>100*(F31-$H32)/$H32</f>
        <v>202.06065934065938</v>
      </c>
      <c r="G35" s="3"/>
      <c r="H35" s="3"/>
      <c r="I35" s="3"/>
    </row>
    <row r="36" spans="1:9" ht="30">
      <c r="A36" s="7" t="s">
        <v>35</v>
      </c>
      <c r="B36" s="3">
        <v>34.7</v>
      </c>
      <c r="C36" s="3"/>
      <c r="D36" s="3">
        <v>118</v>
      </c>
      <c r="E36" s="3"/>
      <c r="F36" s="3">
        <v>22.04</v>
      </c>
      <c r="G36" s="3">
        <f>F36/F18</f>
        <v>5.742416579123421</v>
      </c>
      <c r="H36" s="3"/>
      <c r="I36" s="3"/>
    </row>
    <row r="37" spans="1:9" ht="15">
      <c r="A37" s="7"/>
      <c r="B37" s="3"/>
      <c r="C37" s="3"/>
      <c r="D37" s="3"/>
      <c r="E37" s="3"/>
      <c r="F37" s="3"/>
      <c r="G37" s="3"/>
      <c r="H37" s="3"/>
      <c r="I37" s="3"/>
    </row>
    <row r="38" spans="1:9" ht="30">
      <c r="A38" s="7" t="s">
        <v>25</v>
      </c>
      <c r="B38" s="8">
        <f>B30/(B18/($F18+$D18+$B18))</f>
        <v>110.76882458101083</v>
      </c>
      <c r="C38" s="3"/>
      <c r="D38" s="8">
        <f>D30/(D18/($F18+$D18+$B18))</f>
        <v>453.0897194006805</v>
      </c>
      <c r="E38" s="3"/>
      <c r="F38" s="8">
        <f>F30/(F18/($F18+$D18+$B18))</f>
        <v>82.09800896937028</v>
      </c>
      <c r="G38" s="3"/>
      <c r="H38" s="8">
        <f>1/(1/F38+1/D38+1/B38)</f>
        <v>42.706858693612006</v>
      </c>
      <c r="I38" s="8">
        <f>H38/I18</f>
        <v>5.014756292446567</v>
      </c>
    </row>
    <row r="39" spans="1:9" ht="30">
      <c r="A39" s="7" t="s">
        <v>25</v>
      </c>
      <c r="B39" s="8">
        <f>B30/(B20/($F20+$D20+$B20))</f>
        <v>78.59695574247925</v>
      </c>
      <c r="C39" s="3"/>
      <c r="D39" s="8">
        <f>D30/(D20/($F20+$D20+$B20))</f>
        <v>577.770361545535</v>
      </c>
      <c r="E39" s="3"/>
      <c r="F39" s="8">
        <f>F30/(F20/($F20+$D20+$B20))</f>
        <v>101.70462660015355</v>
      </c>
      <c r="G39" s="3"/>
      <c r="H39" s="8">
        <f>1/(1/F39+1/D39+1/B39)</f>
        <v>41.17543527070744</v>
      </c>
      <c r="I39" s="8">
        <f>H39/I19</f>
        <v>3.9090236943388854</v>
      </c>
    </row>
  </sheetData>
  <sheetProtection/>
  <mergeCells count="4">
    <mergeCell ref="F1:G1"/>
    <mergeCell ref="D1:E1"/>
    <mergeCell ref="B1:C1"/>
    <mergeCell ref="H1:I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0"/>
  <sheetViews>
    <sheetView zoomScale="130" zoomScaleNormal="130" zoomScalePageLayoutView="0" workbookViewId="0" topLeftCell="A1">
      <selection activeCell="A1" sqref="A1"/>
    </sheetView>
  </sheetViews>
  <sheetFormatPr defaultColWidth="11.421875" defaultRowHeight="15"/>
  <cols>
    <col min="1" max="1" width="40.7109375" style="29" customWidth="1"/>
    <col min="2" max="11" width="20.7109375" style="29" customWidth="1"/>
    <col min="12" max="16384" width="11.421875" style="29" customWidth="1"/>
  </cols>
  <sheetData>
    <row r="1" ht="18.75">
      <c r="A1" s="38" t="s">
        <v>10</v>
      </c>
    </row>
    <row r="3" spans="1:5" ht="18.75">
      <c r="A3" s="103" t="s">
        <v>107</v>
      </c>
      <c r="B3" s="103"/>
      <c r="C3" s="103"/>
      <c r="D3" s="103"/>
      <c r="E3" s="103"/>
    </row>
    <row r="4" spans="1:5" ht="18.75">
      <c r="A4" s="103"/>
      <c r="B4" s="103"/>
      <c r="C4" s="103"/>
      <c r="D4" s="103"/>
      <c r="E4" s="103"/>
    </row>
    <row r="5" spans="1:5" ht="18.75">
      <c r="A5" s="103"/>
      <c r="B5" s="103"/>
      <c r="C5" s="103"/>
      <c r="D5" s="103"/>
      <c r="E5" s="103"/>
    </row>
    <row r="6" spans="1:5" ht="18.75">
      <c r="A6" s="103"/>
      <c r="B6" s="103"/>
      <c r="C6" s="103"/>
      <c r="D6" s="103"/>
      <c r="E6" s="103"/>
    </row>
    <row r="8" spans="1:4" ht="18.75" customHeight="1">
      <c r="A8" s="107" t="s">
        <v>108</v>
      </c>
      <c r="B8" s="107"/>
      <c r="C8" s="107"/>
      <c r="D8" s="108" t="s">
        <v>3</v>
      </c>
    </row>
    <row r="9" spans="1:4" ht="18.75">
      <c r="A9" s="107"/>
      <c r="B9" s="107"/>
      <c r="C9" s="107"/>
      <c r="D9" s="108"/>
    </row>
    <row r="10" spans="1:4" ht="18.75">
      <c r="A10" s="107" t="s">
        <v>11</v>
      </c>
      <c r="B10" s="107"/>
      <c r="C10" s="107"/>
      <c r="D10" s="60" t="s">
        <v>12</v>
      </c>
    </row>
  </sheetData>
  <sheetProtection/>
  <mergeCells count="4">
    <mergeCell ref="A3:E6"/>
    <mergeCell ref="A8:C9"/>
    <mergeCell ref="A10:C10"/>
    <mergeCell ref="D8:D9"/>
  </mergeCells>
  <hyperlinks>
    <hyperlink ref="D8" location="Step2!A1" display="Go to 2"/>
    <hyperlink ref="D10" location="'Step 8'!A1" display="Go to 8"/>
    <hyperlink ref="D8:D9" location="'Step 2'!A1" display="Go to 2"/>
  </hyperlink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43"/>
  <sheetViews>
    <sheetView zoomScale="85" zoomScaleNormal="85" zoomScalePageLayoutView="0" workbookViewId="0" topLeftCell="A1">
      <selection activeCell="A28" sqref="A28"/>
    </sheetView>
  </sheetViews>
  <sheetFormatPr defaultColWidth="11.421875" defaultRowHeight="15"/>
  <cols>
    <col min="1" max="1" width="40.7109375" style="11" customWidth="1"/>
    <col min="2" max="9" width="20.7109375" style="11" customWidth="1"/>
    <col min="10" max="16384" width="11.421875" style="11" customWidth="1"/>
  </cols>
  <sheetData>
    <row r="1" ht="18.75">
      <c r="A1" s="10" t="s">
        <v>13</v>
      </c>
    </row>
    <row r="2" ht="13.5" customHeight="1"/>
    <row r="3" spans="1:7" ht="15.75" customHeight="1">
      <c r="A3" s="103" t="s">
        <v>109</v>
      </c>
      <c r="B3" s="103"/>
      <c r="C3" s="103"/>
      <c r="D3" s="103"/>
      <c r="E3" s="103"/>
      <c r="F3" s="29"/>
      <c r="G3" s="29"/>
    </row>
    <row r="4" s="29" customFormat="1" ht="18.75">
      <c r="C4" s="30"/>
    </row>
    <row r="5" spans="1:8" s="29" customFormat="1" ht="37.5">
      <c r="A5" s="18" t="s">
        <v>77</v>
      </c>
      <c r="B5" s="14"/>
      <c r="C5" s="13" t="s">
        <v>97</v>
      </c>
      <c r="D5" s="13" t="s">
        <v>98</v>
      </c>
      <c r="E5" s="13"/>
      <c r="F5" s="13"/>
      <c r="G5" s="13"/>
      <c r="H5" s="13"/>
    </row>
    <row r="6" spans="1:8" s="29" customFormat="1" ht="37.5">
      <c r="A6" s="20" t="str">
        <f>'Aquatox Input parameter'!N8</f>
        <v>Exposure tier (FOCUS step) </v>
      </c>
      <c r="B6" s="14"/>
      <c r="C6" s="20" t="str">
        <f>'Aquatox Input parameter'!O8</f>
        <v>Step 3 (D2 ditch)</v>
      </c>
      <c r="D6" s="20" t="str">
        <f>'Aquatox Input parameter'!P8</f>
        <v>Step3 (R3 stream)</v>
      </c>
      <c r="E6" s="20" t="str">
        <f>'Aquatox Input parameter'!Q8</f>
        <v>Step3 (R3 stream)</v>
      </c>
      <c r="F6" s="20" t="str">
        <f>'Aquatox Input parameter'!R8</f>
        <v>Step3 (R3 stream)</v>
      </c>
      <c r="G6" s="20" t="str">
        <f>'Aquatox Input parameter'!S8</f>
        <v>Step3 (R3 stream)</v>
      </c>
      <c r="H6" s="20">
        <f>'Aquatox Input parameter'!T8</f>
        <v>0</v>
      </c>
    </row>
    <row r="7" spans="1:8" s="29" customFormat="1" ht="18.75">
      <c r="A7" s="20" t="str">
        <f>'Aquatox Input parameter'!N9</f>
        <v>PECsw [mg a.s./L]</v>
      </c>
      <c r="B7" s="14"/>
      <c r="C7" s="64">
        <f>'Aquatox Input parameter'!O9</f>
        <v>0.00185</v>
      </c>
      <c r="D7" s="64">
        <f>'Aquatox Input parameter'!P9</f>
        <v>0.00182</v>
      </c>
      <c r="E7" s="64">
        <f>'Aquatox Input parameter'!Q9</f>
        <v>0.00182</v>
      </c>
      <c r="F7" s="64">
        <f>'Aquatox Input parameter'!R9</f>
        <v>0.00182</v>
      </c>
      <c r="G7" s="64">
        <f>'Aquatox Input parameter'!S9</f>
        <v>0.00182</v>
      </c>
      <c r="H7" s="64">
        <f>'Aquatox Input parameter'!T9</f>
        <v>0</v>
      </c>
    </row>
    <row r="8" spans="1:8" s="29" customFormat="1" ht="37.5">
      <c r="A8" s="20" t="str">
        <f>'Aquatox Input parameter'!N11</f>
        <v>Exposure tier (FOCUS step) </v>
      </c>
      <c r="B8" s="14"/>
      <c r="C8" s="20" t="str">
        <f>'Aquatox Input parameter'!O11</f>
        <v>Step 3 (D2 ditch)</v>
      </c>
      <c r="D8" s="20" t="str">
        <f>'Aquatox Input parameter'!P11</f>
        <v>Step3 (R3 stream)</v>
      </c>
      <c r="E8" s="20" t="str">
        <f>'Aquatox Input parameter'!Q11</f>
        <v>Step 4 (10 m BZ, R3 stream)</v>
      </c>
      <c r="F8" s="20" t="str">
        <f>'Aquatox Input parameter'!R11</f>
        <v>Step 4 (10 m BZ, R1 stream)</v>
      </c>
      <c r="G8" s="20" t="str">
        <f>'Aquatox Input parameter'!S11</f>
        <v>Step 4 (20 m BZ, R3 stream)</v>
      </c>
      <c r="H8" s="20">
        <f>'Aquatox Input parameter'!T11</f>
        <v>0</v>
      </c>
    </row>
    <row r="9" spans="1:8" s="29" customFormat="1" ht="18.75">
      <c r="A9" s="20" t="str">
        <f>'Aquatox Input parameter'!N12</f>
        <v>PECsw [mg a.s./L]</v>
      </c>
      <c r="B9" s="14"/>
      <c r="C9" s="64">
        <f>'Aquatox Input parameter'!O12</f>
        <v>0.001025</v>
      </c>
      <c r="D9" s="64">
        <f>'Aquatox Input parameter'!P12</f>
        <v>0.000134</v>
      </c>
      <c r="E9" s="64">
        <f>'Aquatox Input parameter'!Q12</f>
        <v>0.000115</v>
      </c>
      <c r="F9" s="64">
        <f>'Aquatox Input parameter'!R12</f>
        <v>7E-05</v>
      </c>
      <c r="G9" s="64">
        <f>'Aquatox Input parameter'!S12</f>
        <v>6E-05</v>
      </c>
      <c r="H9" s="64">
        <f>'Aquatox Input parameter'!T12</f>
        <v>0</v>
      </c>
    </row>
    <row r="10" spans="1:8" s="29" customFormat="1" ht="18.75">
      <c r="A10" s="20" t="str">
        <f>'Aquatox Input parameter'!N14</f>
        <v>Exposure tier (FOCUS step) </v>
      </c>
      <c r="B10" s="14"/>
      <c r="C10" s="64">
        <f>'Aquatox Input parameter'!O14</f>
        <v>0</v>
      </c>
      <c r="D10" s="64">
        <f>'Aquatox Input parameter'!P14</f>
        <v>0</v>
      </c>
      <c r="E10" s="64">
        <f>'Aquatox Input parameter'!Q14</f>
        <v>0</v>
      </c>
      <c r="F10" s="64">
        <f>'Aquatox Input parameter'!R14</f>
        <v>0</v>
      </c>
      <c r="G10" s="64">
        <f>'Aquatox Input parameter'!S14</f>
        <v>0</v>
      </c>
      <c r="H10" s="64">
        <f>'Aquatox Input parameter'!T14</f>
        <v>0</v>
      </c>
    </row>
    <row r="11" spans="1:8" s="29" customFormat="1" ht="18.75">
      <c r="A11" s="20" t="str">
        <f>'Aquatox Input parameter'!N15</f>
        <v>PECsw [mg a.s./L]</v>
      </c>
      <c r="B11" s="14"/>
      <c r="C11" s="64">
        <f>'Aquatox Input parameter'!O15</f>
        <v>0</v>
      </c>
      <c r="D11" s="64">
        <f>'Aquatox Input parameter'!P15</f>
        <v>0</v>
      </c>
      <c r="E11" s="64">
        <f>'Aquatox Input parameter'!Q15</f>
        <v>0</v>
      </c>
      <c r="F11" s="64">
        <f>'Aquatox Input parameter'!R15</f>
        <v>0</v>
      </c>
      <c r="G11" s="64">
        <f>'Aquatox Input parameter'!S15</f>
        <v>0</v>
      </c>
      <c r="H11" s="64">
        <f>'Aquatox Input parameter'!T15</f>
        <v>0</v>
      </c>
    </row>
    <row r="12" spans="1:8" s="29" customFormat="1" ht="56.25">
      <c r="A12" s="20" t="str">
        <f>'Aquatox Input parameter'!N17</f>
        <v>Total exposure concentration of the mixture (a.s. based) (PECmix) [mg/L]</v>
      </c>
      <c r="B12" s="14"/>
      <c r="C12" s="64">
        <f>'Aquatox Input parameter'!O17</f>
        <v>0.002875</v>
      </c>
      <c r="D12" s="64">
        <f>'Aquatox Input parameter'!P17</f>
        <v>0.001954</v>
      </c>
      <c r="E12" s="64">
        <f>'Aquatox Input parameter'!Q17</f>
        <v>0.001935</v>
      </c>
      <c r="F12" s="64">
        <f>'Aquatox Input parameter'!R17</f>
        <v>0.00189</v>
      </c>
      <c r="G12" s="64">
        <f>'Aquatox Input parameter'!S17</f>
        <v>0.00188</v>
      </c>
      <c r="H12" s="64">
        <f>'Aquatox Input parameter'!T17</f>
        <v>0</v>
      </c>
    </row>
    <row r="13" spans="1:5" s="29" customFormat="1" ht="18.75">
      <c r="A13" s="49"/>
      <c r="B13" s="50"/>
      <c r="C13" s="47"/>
      <c r="D13" s="47"/>
      <c r="E13" s="45"/>
    </row>
    <row r="14" spans="1:8" s="29" customFormat="1" ht="18.75" customHeight="1">
      <c r="A14" s="14" t="s">
        <v>82</v>
      </c>
      <c r="B14" s="15"/>
      <c r="C14" s="88" t="s">
        <v>129</v>
      </c>
      <c r="D14" s="89"/>
      <c r="E14" s="89"/>
      <c r="F14" s="89"/>
      <c r="G14" s="89"/>
      <c r="H14" s="90"/>
    </row>
    <row r="15" spans="1:8" s="29" customFormat="1" ht="18.75">
      <c r="A15" s="17" t="str">
        <f>'Aquatox Input parameter'!A20</f>
        <v>LC50 fish</v>
      </c>
      <c r="B15" s="15"/>
      <c r="C15" s="48">
        <f>'Aquatox Input parameter'!O20</f>
        <v>0.34922680847187115</v>
      </c>
      <c r="D15" s="48">
        <f>'Aquatox Input parameter'!P20</f>
        <v>0.241525923040771</v>
      </c>
      <c r="E15" s="48">
        <f>'Aquatox Input parameter'!Q20</f>
        <v>0.23918302823705695</v>
      </c>
      <c r="F15" s="48">
        <f>'Aquatox Input parameter'!R20</f>
        <v>0.23363362785912759</v>
      </c>
      <c r="G15" s="48">
        <f>'Aquatox Input parameter'!S20</f>
        <v>0.23240034393053266</v>
      </c>
      <c r="H15" s="48" t="e">
        <f>'Aquatox Input parameter'!T20</f>
        <v>#DIV/0!</v>
      </c>
    </row>
    <row r="16" spans="1:8" s="29" customFormat="1" ht="18.75">
      <c r="A16" s="17" t="str">
        <f>'Aquatox Input parameter'!A21</f>
        <v>EC50 daphnids</v>
      </c>
      <c r="B16" s="15"/>
      <c r="C16" s="48">
        <f>'Aquatox Input parameter'!O21</f>
        <v>0.2842931760597937</v>
      </c>
      <c r="D16" s="48">
        <f>'Aquatox Input parameter'!P21</f>
        <v>0.19646456099660403</v>
      </c>
      <c r="E16" s="48">
        <f>'Aquatox Input parameter'!Q21</f>
        <v>0.19455548242486898</v>
      </c>
      <c r="F16" s="48">
        <f>'Aquatox Input parameter'!R21</f>
        <v>0.19003388090092138</v>
      </c>
      <c r="G16" s="48">
        <f>'Aquatox Input parameter'!S21</f>
        <v>0.18902906153263654</v>
      </c>
      <c r="H16" s="48" t="e">
        <f>'Aquatox Input parameter'!T21</f>
        <v>#DIV/0!</v>
      </c>
    </row>
    <row r="17" spans="1:8" s="29" customFormat="1" ht="18.75">
      <c r="A17" s="17" t="str">
        <f>'Aquatox Input parameter'!A22</f>
        <v>ErC50 algae</v>
      </c>
      <c r="B17" s="15"/>
      <c r="C17" s="48">
        <f>'Aquatox Input parameter'!O22</f>
        <v>0.023270406852994047</v>
      </c>
      <c r="D17" s="48">
        <f>'Aquatox Input parameter'!P22</f>
        <v>0.08231245140770409</v>
      </c>
      <c r="E17" s="48">
        <f>'Aquatox Input parameter'!Q22</f>
        <v>0.08952723508862724</v>
      </c>
      <c r="F17" s="48">
        <f>'Aquatox Input parameter'!R22</f>
        <v>0.11399291617473437</v>
      </c>
      <c r="G17" s="48">
        <f>'Aquatox Input parameter'!S22</f>
        <v>0.12159305480195333</v>
      </c>
      <c r="H17" s="48" t="e">
        <f>'Aquatox Input parameter'!T22</f>
        <v>#DIV/0!</v>
      </c>
    </row>
    <row r="18" spans="1:8" s="29" customFormat="1" ht="18.75">
      <c r="A18" s="17" t="str">
        <f>'Aquatox Input parameter'!A23</f>
        <v>ErC50 lemna</v>
      </c>
      <c r="B18" s="15"/>
      <c r="C18" s="48">
        <f>'Aquatox Input parameter'!O23</f>
        <v>0.0033067074048084896</v>
      </c>
      <c r="D18" s="48">
        <f>'Aquatox Input parameter'!P23</f>
        <v>0.01708830636829954</v>
      </c>
      <c r="E18" s="48">
        <f>'Aquatox Input parameter'!Q23</f>
        <v>0.01969555739110433</v>
      </c>
      <c r="F18" s="48">
        <f>'Aquatox Input parameter'!R23</f>
        <v>0.031442401353452845</v>
      </c>
      <c r="G18" s="48">
        <f>'Aquatox Input parameter'!S23</f>
        <v>0.036409175005470786</v>
      </c>
      <c r="H18" s="48" t="e">
        <f>'Aquatox Input parameter'!T23</f>
        <v>#DIV/0!</v>
      </c>
    </row>
    <row r="19" spans="1:8" s="29" customFormat="1" ht="18.75">
      <c r="A19" s="17" t="str">
        <f>'Aquatox Input parameter'!A24</f>
        <v>ErC50 myriophyllum</v>
      </c>
      <c r="B19" s="15"/>
      <c r="C19" s="48">
        <f>'Aquatox Input parameter'!O24</f>
        <v>0.004030432937549256</v>
      </c>
      <c r="D19" s="48">
        <f>'Aquatox Input parameter'!P24</f>
        <v>0.01592541679254023</v>
      </c>
      <c r="E19" s="48">
        <f>'Aquatox Input parameter'!Q24</f>
        <v>0.01757267116985705</v>
      </c>
      <c r="F19" s="48">
        <f>'Aquatox Input parameter'!R24</f>
        <v>0.023532974370019385</v>
      </c>
      <c r="G19" s="48">
        <f>'Aquatox Input parameter'!S24</f>
        <v>0.025512169276684215</v>
      </c>
      <c r="H19" s="48" t="e">
        <f>'Aquatox Input parameter'!T24</f>
        <v>#DIV/0!</v>
      </c>
    </row>
    <row r="20" spans="1:5" s="29" customFormat="1" ht="18.75">
      <c r="A20" s="49"/>
      <c r="B20" s="50"/>
      <c r="C20" s="47"/>
      <c r="D20" s="47"/>
      <c r="E20" s="45"/>
    </row>
    <row r="21" spans="1:9" s="29" customFormat="1" ht="18.75">
      <c r="A21" s="14" t="s">
        <v>82</v>
      </c>
      <c r="B21" s="15"/>
      <c r="C21" s="104" t="s">
        <v>101</v>
      </c>
      <c r="D21" s="104"/>
      <c r="E21" s="104"/>
      <c r="F21" s="104"/>
      <c r="G21" s="104"/>
      <c r="H21" s="104"/>
      <c r="I21" s="37" t="s">
        <v>86</v>
      </c>
    </row>
    <row r="22" spans="1:9" s="29" customFormat="1" ht="18.75">
      <c r="A22" s="17" t="str">
        <f>'Aquatox Input parameter'!A20</f>
        <v>LC50 fish</v>
      </c>
      <c r="B22" s="15"/>
      <c r="C22" s="48">
        <f>C$12/C15</f>
        <v>0.008232472222222224</v>
      </c>
      <c r="D22" s="48">
        <f>D$12/D15</f>
        <v>0.00809022888888889</v>
      </c>
      <c r="E22" s="48">
        <f>E$12/E15</f>
        <v>0.00809003888888889</v>
      </c>
      <c r="F22" s="48">
        <f>F$12/F15</f>
        <v>0.008089588888888888</v>
      </c>
      <c r="G22" s="48">
        <f>G$12/G15</f>
        <v>0.008089488888888887</v>
      </c>
      <c r="H22" s="48" t="e">
        <f>H$12/H15</f>
        <v>#DIV/0!</v>
      </c>
      <c r="I22" s="35">
        <f>'Aquatox Input parameter'!G20</f>
        <v>0.01</v>
      </c>
    </row>
    <row r="23" spans="1:9" s="29" customFormat="1" ht="18.75">
      <c r="A23" s="17" t="str">
        <f>'Aquatox Input parameter'!A21</f>
        <v>EC50 daphnids</v>
      </c>
      <c r="B23" s="15"/>
      <c r="C23" s="48">
        <f aca="true" t="shared" si="0" ref="C23:H23">C$12/C16</f>
        <v>0.010112799891458944</v>
      </c>
      <c r="D23" s="48">
        <f t="shared" si="0"/>
        <v>0.009945814095366419</v>
      </c>
      <c r="E23" s="48">
        <f t="shared" si="0"/>
        <v>0.00994574902687327</v>
      </c>
      <c r="F23" s="48">
        <f t="shared" si="0"/>
        <v>0.009945594917284228</v>
      </c>
      <c r="G23" s="48">
        <f t="shared" si="0"/>
        <v>0.009945560670708885</v>
      </c>
      <c r="H23" s="48" t="e">
        <f t="shared" si="0"/>
        <v>#DIV/0!</v>
      </c>
      <c r="I23" s="35">
        <f>'Aquatox Input parameter'!G21</f>
        <v>0.01</v>
      </c>
    </row>
    <row r="24" spans="1:9" s="29" customFormat="1" ht="18.75">
      <c r="A24" s="17" t="str">
        <f>'Aquatox Input parameter'!A22</f>
        <v>ErC50 algae</v>
      </c>
      <c r="B24" s="15"/>
      <c r="C24" s="48">
        <f aca="true" t="shared" si="1" ref="C24:H24">C$12/C17</f>
        <v>0.1235474746171055</v>
      </c>
      <c r="D24" s="48">
        <f t="shared" si="1"/>
        <v>0.023738814317673378</v>
      </c>
      <c r="E24" s="48">
        <f t="shared" si="1"/>
        <v>0.021613534675615217</v>
      </c>
      <c r="F24" s="48">
        <f t="shared" si="1"/>
        <v>0.016579977628635344</v>
      </c>
      <c r="G24" s="48">
        <f t="shared" si="1"/>
        <v>0.015461409395973154</v>
      </c>
      <c r="H24" s="48" t="e">
        <f t="shared" si="1"/>
        <v>#DIV/0!</v>
      </c>
      <c r="I24" s="35">
        <f>'Aquatox Input parameter'!G22</f>
        <v>0.1</v>
      </c>
    </row>
    <row r="25" spans="1:9" s="29" customFormat="1" ht="18.75">
      <c r="A25" s="17" t="str">
        <f>'Aquatox Input parameter'!A23</f>
        <v>ErC50 lemna</v>
      </c>
      <c r="B25" s="15"/>
      <c r="C25" s="48">
        <f aca="true" t="shared" si="2" ref="C25:H25">C$12/C18</f>
        <v>0.8694449335974762</v>
      </c>
      <c r="D25" s="48">
        <f t="shared" si="2"/>
        <v>0.11434720082177709</v>
      </c>
      <c r="E25" s="48">
        <f t="shared" si="2"/>
        <v>0.09824550590652285</v>
      </c>
      <c r="F25" s="48">
        <f t="shared" si="2"/>
        <v>0.06010991268618387</v>
      </c>
      <c r="G25" s="48">
        <f t="shared" si="2"/>
        <v>0.05163533641499743</v>
      </c>
      <c r="H25" s="48" t="e">
        <f t="shared" si="2"/>
        <v>#DIV/0!</v>
      </c>
      <c r="I25" s="35">
        <f>'Aquatox Input parameter'!G23</f>
        <v>0.1</v>
      </c>
    </row>
    <row r="26" spans="1:9" s="29" customFormat="1" ht="18.75">
      <c r="A26" s="17" t="str">
        <f>'Aquatox Input parameter'!A24</f>
        <v>ErC50 myriophyllum</v>
      </c>
      <c r="B26" s="15"/>
      <c r="C26" s="48">
        <f aca="true" t="shared" si="3" ref="C26:H26">C$12/C19</f>
        <v>0.713322872393002</v>
      </c>
      <c r="D26" s="48">
        <f t="shared" si="3"/>
        <v>0.12269694573490166</v>
      </c>
      <c r="E26" s="48">
        <f t="shared" si="3"/>
        <v>0.11011416427794801</v>
      </c>
      <c r="F26" s="48">
        <f t="shared" si="3"/>
        <v>0.08031283977463674</v>
      </c>
      <c r="G26" s="48">
        <f t="shared" si="3"/>
        <v>0.07369032321834536</v>
      </c>
      <c r="H26" s="48" t="e">
        <f t="shared" si="3"/>
        <v>#DIV/0!</v>
      </c>
      <c r="I26" s="35">
        <f>'Aquatox Input parameter'!G24</f>
        <v>0.1</v>
      </c>
    </row>
    <row r="27" spans="3:5" s="29" customFormat="1" ht="18.75">
      <c r="C27" s="30"/>
      <c r="E27" s="30"/>
    </row>
    <row r="28" spans="1:3" s="29" customFormat="1" ht="18.75">
      <c r="A28" s="38" t="s">
        <v>115</v>
      </c>
      <c r="C28" s="30"/>
    </row>
    <row r="29" spans="1:5" s="29" customFormat="1" ht="18.75" customHeight="1">
      <c r="A29" s="98" t="s">
        <v>113</v>
      </c>
      <c r="B29" s="98"/>
      <c r="C29" s="98"/>
      <c r="D29" s="98"/>
      <c r="E29" s="98"/>
    </row>
    <row r="30" spans="1:5" s="29" customFormat="1" ht="18.75">
      <c r="A30" s="98"/>
      <c r="B30" s="98"/>
      <c r="C30" s="98"/>
      <c r="D30" s="98"/>
      <c r="E30" s="98"/>
    </row>
    <row r="31" spans="1:5" ht="18.75">
      <c r="A31" s="98"/>
      <c r="B31" s="98"/>
      <c r="C31" s="98"/>
      <c r="D31" s="98"/>
      <c r="E31" s="98"/>
    </row>
    <row r="32" spans="1:5" ht="18.75">
      <c r="A32" s="98"/>
      <c r="B32" s="98"/>
      <c r="C32" s="98"/>
      <c r="D32" s="98"/>
      <c r="E32" s="98"/>
    </row>
    <row r="33" spans="1:5" ht="18.75">
      <c r="A33" s="98" t="s">
        <v>150</v>
      </c>
      <c r="B33" s="98"/>
      <c r="C33" s="98"/>
      <c r="D33" s="98"/>
      <c r="E33" s="98"/>
    </row>
    <row r="34" spans="1:5" ht="18.75">
      <c r="A34" s="98"/>
      <c r="B34" s="98"/>
      <c r="C34" s="98"/>
      <c r="D34" s="98"/>
      <c r="E34" s="98"/>
    </row>
    <row r="35" spans="1:5" ht="18.75">
      <c r="A35" s="98"/>
      <c r="B35" s="98"/>
      <c r="C35" s="98"/>
      <c r="D35" s="98"/>
      <c r="E35" s="98"/>
    </row>
    <row r="36" spans="1:5" ht="18.75">
      <c r="A36" s="98"/>
      <c r="B36" s="98"/>
      <c r="C36" s="98"/>
      <c r="D36" s="98"/>
      <c r="E36" s="98"/>
    </row>
    <row r="37" spans="1:5" ht="18.75">
      <c r="A37" s="98"/>
      <c r="B37" s="98"/>
      <c r="C37" s="98"/>
      <c r="D37" s="98"/>
      <c r="E37" s="98"/>
    </row>
    <row r="38" spans="1:5" ht="18.75">
      <c r="A38" s="98"/>
      <c r="B38" s="98"/>
      <c r="C38" s="98"/>
      <c r="D38" s="98"/>
      <c r="E38" s="98"/>
    </row>
    <row r="39" spans="1:5" ht="18.75">
      <c r="A39" s="98"/>
      <c r="B39" s="98"/>
      <c r="C39" s="98"/>
      <c r="D39" s="98"/>
      <c r="E39" s="98"/>
    </row>
    <row r="40" spans="1:5" ht="18.75">
      <c r="A40" s="98"/>
      <c r="B40" s="98"/>
      <c r="C40" s="98"/>
      <c r="D40" s="98"/>
      <c r="E40" s="98"/>
    </row>
    <row r="41" spans="1:5" ht="18.75">
      <c r="A41" s="98"/>
      <c r="B41" s="98"/>
      <c r="C41" s="98"/>
      <c r="D41" s="98"/>
      <c r="E41" s="98"/>
    </row>
    <row r="42" spans="1:5" ht="18.75">
      <c r="A42" s="98"/>
      <c r="B42" s="98"/>
      <c r="C42" s="98"/>
      <c r="D42" s="98"/>
      <c r="E42" s="98"/>
    </row>
    <row r="43" spans="1:5" ht="18.75">
      <c r="A43" s="98"/>
      <c r="B43" s="98"/>
      <c r="C43" s="98"/>
      <c r="D43" s="98"/>
      <c r="E43" s="98"/>
    </row>
  </sheetData>
  <sheetProtection/>
  <mergeCells count="5">
    <mergeCell ref="C21:H21"/>
    <mergeCell ref="A29:E32"/>
    <mergeCell ref="A3:E3"/>
    <mergeCell ref="C14:H14"/>
    <mergeCell ref="A33:E43"/>
  </mergeCells>
  <conditionalFormatting sqref="C22:H26">
    <cfRule type="expression" priority="4" dxfId="4">
      <formula>C22&lt;=$I22</formula>
    </cfRule>
  </conditionalFormatting>
  <conditionalFormatting sqref="C22:H26">
    <cfRule type="expression" priority="3" dxfId="5">
      <formula>C22&gt;$I22</formula>
    </cfRule>
  </conditionalFormatting>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9"/>
  <sheetViews>
    <sheetView zoomScale="130" zoomScaleNormal="130" zoomScalePageLayoutView="0" workbookViewId="0" topLeftCell="A1">
      <selection activeCell="B15" sqref="B15"/>
    </sheetView>
  </sheetViews>
  <sheetFormatPr defaultColWidth="11.421875" defaultRowHeight="15"/>
  <cols>
    <col min="1" max="1" width="40.7109375" style="29" customWidth="1"/>
    <col min="2" max="11" width="20.7109375" style="29" customWidth="1"/>
    <col min="12" max="16384" width="11.421875" style="29" customWidth="1"/>
  </cols>
  <sheetData>
    <row r="1" ht="18.75">
      <c r="A1" s="38" t="s">
        <v>16</v>
      </c>
    </row>
    <row r="3" spans="1:5" ht="18.75" customHeight="1">
      <c r="A3" s="103" t="s">
        <v>111</v>
      </c>
      <c r="B3" s="103"/>
      <c r="C3" s="103"/>
      <c r="D3" s="103"/>
      <c r="E3" s="103"/>
    </row>
    <row r="4" spans="1:5" ht="18.75">
      <c r="A4" s="103"/>
      <c r="B4" s="103"/>
      <c r="C4" s="103"/>
      <c r="D4" s="103"/>
      <c r="E4" s="103"/>
    </row>
    <row r="5" spans="1:5" ht="18.75">
      <c r="A5" s="103"/>
      <c r="B5" s="103"/>
      <c r="C5" s="103"/>
      <c r="D5" s="103"/>
      <c r="E5" s="103"/>
    </row>
    <row r="6" spans="1:5" ht="18.75">
      <c r="A6" s="103"/>
      <c r="B6" s="103"/>
      <c r="C6" s="103"/>
      <c r="D6" s="103"/>
      <c r="E6" s="103"/>
    </row>
    <row r="8" spans="1:5" ht="18.75">
      <c r="A8" s="107" t="s">
        <v>14</v>
      </c>
      <c r="B8" s="107"/>
      <c r="C8" s="107"/>
      <c r="D8" s="107"/>
      <c r="E8" s="60" t="s">
        <v>12</v>
      </c>
    </row>
    <row r="9" spans="1:5" ht="18.75">
      <c r="A9" s="107" t="s">
        <v>15</v>
      </c>
      <c r="B9" s="107"/>
      <c r="C9" s="107"/>
      <c r="D9" s="107"/>
      <c r="E9" s="60" t="s">
        <v>17</v>
      </c>
    </row>
  </sheetData>
  <sheetProtection/>
  <mergeCells count="3">
    <mergeCell ref="A3:E6"/>
    <mergeCell ref="A8:D8"/>
    <mergeCell ref="A9:D9"/>
  </mergeCells>
  <hyperlinks>
    <hyperlink ref="E8" location="'Step 8'!A1" display="Go to 8"/>
    <hyperlink ref="E9" location="'Step 3'!A1" display="Go to 3"/>
  </hyperlink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0"/>
  <sheetViews>
    <sheetView zoomScale="130" zoomScaleNormal="130" zoomScalePageLayoutView="0" workbookViewId="0" topLeftCell="A1">
      <selection activeCell="A1" sqref="A1"/>
    </sheetView>
  </sheetViews>
  <sheetFormatPr defaultColWidth="11.421875" defaultRowHeight="15"/>
  <cols>
    <col min="1" max="1" width="40.7109375" style="29" customWidth="1"/>
    <col min="2" max="11" width="20.7109375" style="29" customWidth="1"/>
    <col min="12" max="16384" width="11.421875" style="29" customWidth="1"/>
  </cols>
  <sheetData>
    <row r="1" ht="18.75">
      <c r="A1" s="38" t="s">
        <v>18</v>
      </c>
    </row>
    <row r="3" spans="1:5" ht="18.75" customHeight="1">
      <c r="A3" s="103" t="s">
        <v>112</v>
      </c>
      <c r="B3" s="103"/>
      <c r="C3" s="103"/>
      <c r="D3" s="103"/>
      <c r="E3" s="103"/>
    </row>
    <row r="4" spans="1:5" ht="18.75">
      <c r="A4" s="103"/>
      <c r="B4" s="103"/>
      <c r="C4" s="103"/>
      <c r="D4" s="103"/>
      <c r="E4" s="103"/>
    </row>
    <row r="5" spans="1:5" ht="18.75">
      <c r="A5" s="103"/>
      <c r="B5" s="103"/>
      <c r="C5" s="103"/>
      <c r="D5" s="103"/>
      <c r="E5" s="103"/>
    </row>
    <row r="7" spans="1:5" ht="18.75">
      <c r="A7" s="109" t="s">
        <v>118</v>
      </c>
      <c r="B7" s="109"/>
      <c r="C7" s="109"/>
      <c r="D7" s="109"/>
      <c r="E7" s="60" t="s">
        <v>17</v>
      </c>
    </row>
    <row r="8" spans="1:5" ht="18.75" customHeight="1">
      <c r="A8" s="107" t="s">
        <v>119</v>
      </c>
      <c r="B8" s="107"/>
      <c r="C8" s="107"/>
      <c r="D8" s="107"/>
      <c r="E8" s="110" t="s">
        <v>12</v>
      </c>
    </row>
    <row r="9" spans="1:5" ht="18.75">
      <c r="A9" s="107"/>
      <c r="B9" s="107"/>
      <c r="C9" s="107"/>
      <c r="D9" s="107"/>
      <c r="E9" s="111"/>
    </row>
    <row r="10" spans="1:5" ht="18.75">
      <c r="A10" s="107" t="s">
        <v>120</v>
      </c>
      <c r="B10" s="107"/>
      <c r="C10" s="107"/>
      <c r="D10" s="107"/>
      <c r="E10" s="60" t="s">
        <v>17</v>
      </c>
    </row>
  </sheetData>
  <sheetProtection/>
  <mergeCells count="5">
    <mergeCell ref="A3:E5"/>
    <mergeCell ref="A7:D7"/>
    <mergeCell ref="E8:E9"/>
    <mergeCell ref="A8:D9"/>
    <mergeCell ref="A10:D10"/>
  </mergeCells>
  <hyperlinks>
    <hyperlink ref="E7" location="'Step 3'!A1" display="Go to 3"/>
    <hyperlink ref="E8" location="Step8!A1" display="Go to 8"/>
    <hyperlink ref="E10" location="'Step 3'!A1" display="Go to 3"/>
    <hyperlink ref="E8:E9" location="'Step 8'!A1" display="Go to 8"/>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9"/>
  <sheetViews>
    <sheetView zoomScale="115" zoomScaleNormal="115" zoomScalePageLayoutView="0" workbookViewId="0" topLeftCell="A1">
      <pane xSplit="1" ySplit="1" topLeftCell="B14" activePane="bottomRight" state="frozen"/>
      <selection pane="topLeft" activeCell="A3" sqref="A3"/>
      <selection pane="topRight" activeCell="A1" sqref="A1"/>
      <selection pane="bottomLeft" activeCell="A11" sqref="A11"/>
      <selection pane="bottomRight" activeCell="B25" sqref="B25"/>
    </sheetView>
  </sheetViews>
  <sheetFormatPr defaultColWidth="11.421875" defaultRowHeight="15"/>
  <cols>
    <col min="1" max="1" width="42.8515625" style="2" customWidth="1"/>
    <col min="2" max="8" width="11.421875" style="1" customWidth="1"/>
    <col min="9" max="9" width="11.8515625" style="1" bestFit="1" customWidth="1"/>
    <col min="10" max="16384" width="11.421875" style="1" customWidth="1"/>
  </cols>
  <sheetData>
    <row r="1" spans="1:9" ht="15">
      <c r="A1" s="4" t="s">
        <v>42</v>
      </c>
      <c r="B1" s="86" t="s">
        <v>56</v>
      </c>
      <c r="C1" s="86"/>
      <c r="D1" s="86" t="s">
        <v>57</v>
      </c>
      <c r="E1" s="86"/>
      <c r="F1" s="86" t="s">
        <v>58</v>
      </c>
      <c r="G1" s="86"/>
      <c r="H1" s="87" t="s">
        <v>21</v>
      </c>
      <c r="I1" s="87"/>
    </row>
    <row r="2" spans="1:9" ht="15">
      <c r="A2" s="7" t="s">
        <v>47</v>
      </c>
      <c r="B2" s="8">
        <v>1500</v>
      </c>
      <c r="C2" s="3"/>
      <c r="D2" s="8">
        <v>248</v>
      </c>
      <c r="E2" s="3"/>
      <c r="F2" s="8">
        <v>800</v>
      </c>
      <c r="G2" s="3"/>
      <c r="H2" s="8">
        <f>B2+D2+F2</f>
        <v>2548</v>
      </c>
      <c r="I2" s="3"/>
    </row>
    <row r="3" spans="1:9" ht="30">
      <c r="A3" s="7" t="s">
        <v>37</v>
      </c>
      <c r="B3" s="8">
        <f>B2/($B2+$D2+$F2)</f>
        <v>0.5886970172684458</v>
      </c>
      <c r="C3" s="3"/>
      <c r="D3" s="8">
        <f>D2/($B2+$D2+$F2)</f>
        <v>0.09733124018838304</v>
      </c>
      <c r="E3" s="3"/>
      <c r="F3" s="8">
        <f>F2/($B2+$D2+$F2)</f>
        <v>0.3139717425431711</v>
      </c>
      <c r="G3" s="3"/>
      <c r="H3" s="3"/>
      <c r="I3" s="3"/>
    </row>
    <row r="4" spans="1:9" ht="75">
      <c r="A4" s="7" t="s">
        <v>48</v>
      </c>
      <c r="B4" s="8">
        <v>0.3073</v>
      </c>
      <c r="C4" s="3"/>
      <c r="D4" s="8">
        <v>0.0519</v>
      </c>
      <c r="E4" s="3"/>
      <c r="F4" s="8">
        <v>0.1782</v>
      </c>
      <c r="G4" s="3"/>
      <c r="H4" s="3"/>
      <c r="I4" s="3"/>
    </row>
    <row r="5" spans="1:9" ht="30">
      <c r="A5" s="7" t="s">
        <v>33</v>
      </c>
      <c r="B5" s="3">
        <v>16.2</v>
      </c>
      <c r="C5" s="3"/>
      <c r="D5" s="3">
        <v>16.2</v>
      </c>
      <c r="E5" s="3"/>
      <c r="F5" s="3">
        <v>16.2</v>
      </c>
      <c r="G5" s="3"/>
      <c r="H5" s="3">
        <v>16.2</v>
      </c>
      <c r="I5" s="3"/>
    </row>
    <row r="6" spans="1:9" ht="30">
      <c r="A6" s="9" t="s">
        <v>26</v>
      </c>
      <c r="B6" s="8">
        <v>5.9</v>
      </c>
      <c r="C6" s="3"/>
      <c r="D6" s="8">
        <v>5.9</v>
      </c>
      <c r="E6" s="3"/>
      <c r="F6" s="8">
        <v>5.9</v>
      </c>
      <c r="G6" s="3"/>
      <c r="H6" s="3"/>
      <c r="I6" s="3"/>
    </row>
    <row r="7" spans="1:9" ht="30">
      <c r="A7" s="9" t="s">
        <v>49</v>
      </c>
      <c r="B7" s="8">
        <v>10.9</v>
      </c>
      <c r="C7" s="3"/>
      <c r="D7" s="8">
        <v>10.9</v>
      </c>
      <c r="E7" s="3"/>
      <c r="F7" s="8">
        <v>10.9</v>
      </c>
      <c r="G7" s="3"/>
      <c r="H7" s="3"/>
      <c r="I7" s="3"/>
    </row>
    <row r="8" spans="1:9" ht="30">
      <c r="A8" s="9" t="s">
        <v>49</v>
      </c>
      <c r="B8" s="8">
        <v>4.2</v>
      </c>
      <c r="C8" s="3"/>
      <c r="D8" s="8">
        <v>4.2</v>
      </c>
      <c r="E8" s="3"/>
      <c r="F8" s="8">
        <v>4.2</v>
      </c>
      <c r="G8" s="3"/>
      <c r="H8" s="3"/>
      <c r="I8" s="3"/>
    </row>
    <row r="9" spans="1:9" ht="15">
      <c r="A9" s="9" t="s">
        <v>52</v>
      </c>
      <c r="B9" s="8">
        <f>7.5*0.68*0.5</f>
        <v>2.5500000000000003</v>
      </c>
      <c r="C9" s="3"/>
      <c r="D9" s="8">
        <f>7.5*0.68*0.5</f>
        <v>2.5500000000000003</v>
      </c>
      <c r="E9" s="3"/>
      <c r="F9" s="8">
        <f>7.5*0.68*0.5</f>
        <v>2.5500000000000003</v>
      </c>
      <c r="G9" s="3"/>
      <c r="H9" s="3"/>
      <c r="I9" s="3"/>
    </row>
    <row r="10" spans="1:9" ht="15">
      <c r="A10" s="9" t="s">
        <v>53</v>
      </c>
      <c r="B10" s="8">
        <f>40.2*0.23*0.25</f>
        <v>2.3115</v>
      </c>
      <c r="C10" s="3"/>
      <c r="D10" s="8">
        <f>40.2*0.23*0.25</f>
        <v>2.3115</v>
      </c>
      <c r="E10" s="3"/>
      <c r="F10" s="8">
        <f>40.2*0.23*0.25</f>
        <v>2.3115</v>
      </c>
      <c r="G10" s="3"/>
      <c r="H10" s="3"/>
      <c r="I10" s="3"/>
    </row>
    <row r="11" spans="1:9" ht="15">
      <c r="A11" s="9" t="s">
        <v>54</v>
      </c>
      <c r="B11" s="8">
        <f>28.7*2.26*0.25</f>
        <v>16.2155</v>
      </c>
      <c r="C11" s="3"/>
      <c r="D11" s="8">
        <f>28.7*2.26*0.25</f>
        <v>16.2155</v>
      </c>
      <c r="E11" s="3"/>
      <c r="F11" s="8">
        <f>28.7*2.26*0.25</f>
        <v>16.2155</v>
      </c>
      <c r="G11" s="3"/>
      <c r="H11" s="3"/>
      <c r="I11" s="3"/>
    </row>
    <row r="12" spans="1:9" ht="15">
      <c r="A12" s="9" t="s">
        <v>30</v>
      </c>
      <c r="B12" s="8">
        <v>1</v>
      </c>
      <c r="C12" s="3"/>
      <c r="D12" s="8">
        <v>1</v>
      </c>
      <c r="E12" s="3"/>
      <c r="F12" s="8">
        <v>1</v>
      </c>
      <c r="G12" s="3"/>
      <c r="H12" s="3">
        <v>1</v>
      </c>
      <c r="I12" s="3"/>
    </row>
    <row r="13" spans="1:9" ht="15">
      <c r="A13" s="9" t="s">
        <v>28</v>
      </c>
      <c r="B13" s="8">
        <v>1.9</v>
      </c>
      <c r="C13" s="3"/>
      <c r="D13" s="3"/>
      <c r="E13" s="3"/>
      <c r="F13" s="8">
        <v>5.2</v>
      </c>
      <c r="G13" s="3"/>
      <c r="H13" s="3"/>
      <c r="I13" s="3"/>
    </row>
    <row r="14" spans="1:9" ht="15">
      <c r="A14" s="9" t="s">
        <v>29</v>
      </c>
      <c r="B14" s="8">
        <v>0.53</v>
      </c>
      <c r="C14" s="3"/>
      <c r="D14" s="8">
        <v>0.53</v>
      </c>
      <c r="E14" s="3"/>
      <c r="F14" s="8">
        <v>0.53</v>
      </c>
      <c r="G14" s="3"/>
      <c r="H14" s="3">
        <v>0.53</v>
      </c>
      <c r="I14" s="3"/>
    </row>
    <row r="15" spans="1:9" ht="15">
      <c r="A15" s="9" t="s">
        <v>27</v>
      </c>
      <c r="B15" s="8">
        <f>+(1-EXP(-(LN(2)/B13)*21))/((LN(2)/B13)*21)</f>
        <v>0.1304680994335626</v>
      </c>
      <c r="C15" s="3"/>
      <c r="D15" s="3"/>
      <c r="E15" s="3"/>
      <c r="F15" s="8">
        <f>+(1-EXP(-(LN(2)/F13)*21))/((LN(2)/F13)*21)</f>
        <v>0.33549872253738816</v>
      </c>
      <c r="G15" s="3"/>
      <c r="H15" s="3"/>
      <c r="I15" s="3"/>
    </row>
    <row r="16" spans="1:9" ht="15">
      <c r="A16" s="7" t="s">
        <v>34</v>
      </c>
      <c r="B16" s="3">
        <f>B2/1000*B5*B12*B14</f>
        <v>12.879</v>
      </c>
      <c r="C16" s="3"/>
      <c r="D16" s="3">
        <f>D2/1000*D5*D12*D14</f>
        <v>2.129328</v>
      </c>
      <c r="E16" s="3"/>
      <c r="F16" s="3">
        <f>F2/1000*F5*F12*F14</f>
        <v>6.868800000000001</v>
      </c>
      <c r="G16" s="3"/>
      <c r="H16" s="3">
        <f>H2/1000*H5*H12*H14</f>
        <v>21.877128000000003</v>
      </c>
      <c r="I16" s="3"/>
    </row>
    <row r="17" spans="1:9" ht="15">
      <c r="A17" s="9" t="s">
        <v>32</v>
      </c>
      <c r="B17" s="8">
        <f>B2/1000*B6*B12*B14</f>
        <v>4.690500000000001</v>
      </c>
      <c r="C17" s="3"/>
      <c r="D17" s="8">
        <f>D2/1000*D6*D12*D14</f>
        <v>0.7754960000000001</v>
      </c>
      <c r="E17" s="3"/>
      <c r="F17" s="8">
        <f>F2/1000*F6*F12*F14</f>
        <v>2.5016000000000003</v>
      </c>
      <c r="G17" s="3"/>
      <c r="H17" s="3"/>
      <c r="I17" s="8">
        <f>F17+D17+B17</f>
        <v>7.967596000000001</v>
      </c>
    </row>
    <row r="18" spans="1:9" ht="30">
      <c r="A18" s="9" t="s">
        <v>31</v>
      </c>
      <c r="B18" s="8">
        <f>B2/1000*B6*B12*B15</f>
        <v>1.1546426799870293</v>
      </c>
      <c r="C18" s="3"/>
      <c r="D18" s="8">
        <f>D2/1000*D6*D12*D14</f>
        <v>0.7754960000000001</v>
      </c>
      <c r="E18" s="3"/>
      <c r="F18" s="8">
        <f>F2/1000*F6*F12*F15</f>
        <v>1.5835539703764723</v>
      </c>
      <c r="G18" s="3"/>
      <c r="H18" s="3"/>
      <c r="I18" s="8">
        <f>F18+D18+B18</f>
        <v>3.5136926503635015</v>
      </c>
    </row>
    <row r="19" spans="1:9" ht="15">
      <c r="A19" s="9" t="s">
        <v>50</v>
      </c>
      <c r="B19" s="8">
        <f>B2/1000*B12*B14*B7</f>
        <v>8.665500000000002</v>
      </c>
      <c r="C19" s="3"/>
      <c r="D19" s="8">
        <f>D2/1000*D12*D14*D7</f>
        <v>1.432696</v>
      </c>
      <c r="E19" s="3"/>
      <c r="F19" s="8">
        <f>F2/1000*F12*F14*F7</f>
        <v>4.621600000000001</v>
      </c>
      <c r="G19" s="3"/>
      <c r="H19" s="3"/>
      <c r="I19" s="8">
        <f>F19+D19+B19</f>
        <v>14.719796000000002</v>
      </c>
    </row>
    <row r="20" spans="1:9" ht="30">
      <c r="A20" s="9" t="s">
        <v>51</v>
      </c>
      <c r="B20" s="8">
        <f>B2/1000*(B9*B14+B10*B14+B11*B15)*B12</f>
        <v>7.038300699547401</v>
      </c>
      <c r="C20" s="3"/>
      <c r="D20" s="8">
        <f>D2/1000*(D9*D14+D10*D14+D11*D14)*D12</f>
        <v>2.7703608799999997</v>
      </c>
      <c r="E20" s="3"/>
      <c r="F20" s="8">
        <f>F2/1000*(F9*F14+F10*F15+F11*F15)*F12</f>
        <v>6.0538278659601525</v>
      </c>
      <c r="G20" s="3"/>
      <c r="H20" s="3"/>
      <c r="I20" s="8">
        <f>F20+D20+B20</f>
        <v>15.862489445507553</v>
      </c>
    </row>
    <row r="21" spans="1:9" ht="15">
      <c r="A21" s="9" t="s">
        <v>55</v>
      </c>
      <c r="B21" s="8">
        <f>B2/1000*B12*B14*B8</f>
        <v>3.3390000000000004</v>
      </c>
      <c r="C21" s="3"/>
      <c r="D21" s="8">
        <f>D2/1000*D12*D14*D8</f>
        <v>0.552048</v>
      </c>
      <c r="E21" s="3"/>
      <c r="F21" s="8">
        <f>F2/1000*F12*F14*F8</f>
        <v>1.7808000000000002</v>
      </c>
      <c r="G21" s="3"/>
      <c r="H21" s="3"/>
      <c r="I21" s="8">
        <f>F21+D21+B21</f>
        <v>5.671848000000001</v>
      </c>
    </row>
    <row r="22" spans="1:9" ht="15">
      <c r="A22" s="5"/>
      <c r="B22" s="6" t="s">
        <v>22</v>
      </c>
      <c r="C22" s="6" t="s">
        <v>23</v>
      </c>
      <c r="D22" s="6" t="s">
        <v>22</v>
      </c>
      <c r="E22" s="6" t="s">
        <v>23</v>
      </c>
      <c r="F22" s="6" t="s">
        <v>22</v>
      </c>
      <c r="G22" s="6" t="s">
        <v>23</v>
      </c>
      <c r="H22" s="6" t="s">
        <v>22</v>
      </c>
      <c r="I22" s="6" t="s">
        <v>23</v>
      </c>
    </row>
    <row r="23" spans="1:9" ht="15">
      <c r="A23" s="7"/>
      <c r="B23" s="3"/>
      <c r="C23" s="3"/>
      <c r="D23" s="3"/>
      <c r="E23" s="3"/>
      <c r="F23" s="3"/>
      <c r="G23" s="3"/>
      <c r="H23" s="3"/>
      <c r="I23" s="3"/>
    </row>
    <row r="24" spans="1:9" ht="15">
      <c r="A24" s="7" t="s">
        <v>38</v>
      </c>
      <c r="B24" s="8">
        <v>1302</v>
      </c>
      <c r="C24" s="3"/>
      <c r="D24" s="8">
        <v>2000</v>
      </c>
      <c r="E24" s="3"/>
      <c r="F24" s="8">
        <v>2000</v>
      </c>
      <c r="G24" s="3"/>
      <c r="H24" s="3">
        <v>4620</v>
      </c>
      <c r="I24" s="3"/>
    </row>
    <row r="25" spans="1:9" ht="30">
      <c r="A25" s="7" t="s">
        <v>39</v>
      </c>
      <c r="B25" s="8">
        <f>B24/B$3</f>
        <v>2211.664</v>
      </c>
      <c r="C25" s="3"/>
      <c r="D25" s="8">
        <f>D24/D$3</f>
        <v>20548.387096774193</v>
      </c>
      <c r="E25" s="3"/>
      <c r="F25" s="8">
        <f>F24/F$3</f>
        <v>6370</v>
      </c>
      <c r="G25" s="3"/>
      <c r="H25" s="3"/>
      <c r="I25" s="3"/>
    </row>
    <row r="26" spans="1:9" ht="30">
      <c r="A26" s="7" t="s">
        <v>40</v>
      </c>
      <c r="B26" s="3"/>
      <c r="C26" s="3"/>
      <c r="D26" s="3"/>
      <c r="E26" s="3"/>
      <c r="F26" s="3"/>
      <c r="G26" s="3"/>
      <c r="H26" s="8">
        <f>1/(1/B25+1/D25+1/F25)</f>
        <v>1520.2195167551993</v>
      </c>
      <c r="I26" s="3"/>
    </row>
    <row r="27" spans="1:9" ht="30">
      <c r="A27" s="7" t="s">
        <v>43</v>
      </c>
      <c r="B27" s="8">
        <f>100*(B25-$H26)/$H26</f>
        <v>45.48320000000001</v>
      </c>
      <c r="C27" s="3"/>
      <c r="D27" s="8">
        <f>100*(D25-$H26)/$H26</f>
        <v>1251.6723650958822</v>
      </c>
      <c r="E27" s="3"/>
      <c r="F27" s="8">
        <f>100*(F25-$H26)/$H26</f>
        <v>319.0184331797235</v>
      </c>
      <c r="G27" s="3"/>
      <c r="H27" s="3"/>
      <c r="I27" s="3"/>
    </row>
    <row r="28" spans="1:9" ht="45">
      <c r="A28" s="7" t="s">
        <v>46</v>
      </c>
      <c r="B28" s="8">
        <f>B24/B$4</f>
        <v>4236.902050113895</v>
      </c>
      <c r="C28" s="3"/>
      <c r="D28" s="8">
        <f>D24/D$4</f>
        <v>38535.64547206165</v>
      </c>
      <c r="E28" s="3"/>
      <c r="F28" s="8">
        <f>F24/F$4</f>
        <v>11223.34455667789</v>
      </c>
      <c r="G28" s="3"/>
      <c r="H28" s="3"/>
      <c r="I28" s="3"/>
    </row>
    <row r="29" spans="1:9" ht="30">
      <c r="A29" s="7" t="s">
        <v>45</v>
      </c>
      <c r="B29" s="3"/>
      <c r="C29" s="3"/>
      <c r="D29" s="3"/>
      <c r="E29" s="3"/>
      <c r="F29" s="3"/>
      <c r="G29" s="3"/>
      <c r="H29" s="8">
        <f>1/(1/B28+1/D28+1/F28)</f>
        <v>2848.422571145479</v>
      </c>
      <c r="I29" s="3"/>
    </row>
    <row r="30" spans="1:9" ht="30">
      <c r="A30" s="7" t="s">
        <v>24</v>
      </c>
      <c r="B30" s="8">
        <v>81.5</v>
      </c>
      <c r="C30" s="3">
        <f>B30/B16</f>
        <v>6.328131066076559</v>
      </c>
      <c r="D30" s="8">
        <v>173</v>
      </c>
      <c r="E30" s="3">
        <f>D30/D16</f>
        <v>81.24628990930472</v>
      </c>
      <c r="F30" s="8">
        <v>21.8</v>
      </c>
      <c r="G30" s="3">
        <f>F30/F16</f>
        <v>3.1737712555322615</v>
      </c>
      <c r="H30" s="3"/>
      <c r="I30" s="3"/>
    </row>
    <row r="31" spans="1:9" ht="30">
      <c r="A31" s="7" t="s">
        <v>36</v>
      </c>
      <c r="B31" s="8">
        <f>B30/B$3</f>
        <v>138.44133333333335</v>
      </c>
      <c r="C31" s="3"/>
      <c r="D31" s="8">
        <f>D30/D$3</f>
        <v>1777.4354838709678</v>
      </c>
      <c r="E31" s="3"/>
      <c r="F31" s="8">
        <f>F30/F$3</f>
        <v>69.433</v>
      </c>
      <c r="G31" s="3"/>
      <c r="H31" s="3"/>
      <c r="I31" s="3"/>
    </row>
    <row r="32" spans="1:9" ht="45">
      <c r="A32" s="7" t="s">
        <v>41</v>
      </c>
      <c r="B32" s="3"/>
      <c r="C32" s="3"/>
      <c r="D32" s="3"/>
      <c r="E32" s="3"/>
      <c r="F32" s="3"/>
      <c r="G32" s="3"/>
      <c r="H32" s="8">
        <f>1/(1/B31+1/D31+1/F31)</f>
        <v>45.06888258314792</v>
      </c>
      <c r="I32" s="8">
        <f>H32/I17</f>
        <v>5.656522065519877</v>
      </c>
    </row>
    <row r="33" spans="1:9" ht="45">
      <c r="A33" s="7" t="s">
        <v>41</v>
      </c>
      <c r="B33" s="3"/>
      <c r="C33" s="3"/>
      <c r="D33" s="3"/>
      <c r="E33" s="3"/>
      <c r="F33" s="3"/>
      <c r="G33" s="3"/>
      <c r="H33" s="8">
        <f>1/(1/B31+1/D31+1/F31)</f>
        <v>45.06888258314792</v>
      </c>
      <c r="I33" s="8">
        <f>H33/I19</f>
        <v>3.0617871730795665</v>
      </c>
    </row>
    <row r="34" spans="1:9" ht="45">
      <c r="A34" s="7" t="s">
        <v>41</v>
      </c>
      <c r="B34" s="3"/>
      <c r="C34" s="3"/>
      <c r="D34" s="3"/>
      <c r="E34" s="3"/>
      <c r="F34" s="3"/>
      <c r="G34" s="3"/>
      <c r="H34" s="8">
        <f>1/(1/B31+1/D31+1/F31)</f>
        <v>45.06888258314792</v>
      </c>
      <c r="I34" s="8">
        <f>H34/I21</f>
        <v>7.946066711087447</v>
      </c>
    </row>
    <row r="35" spans="1:9" ht="30">
      <c r="A35" s="7" t="s">
        <v>44</v>
      </c>
      <c r="B35" s="8">
        <f>100*(B31-$H32)/$H32</f>
        <v>207.17720386770606</v>
      </c>
      <c r="C35" s="3"/>
      <c r="D35" s="8">
        <f>100*(D31-$H32)/$H32</f>
        <v>3843.81973103452</v>
      </c>
      <c r="E35" s="3"/>
      <c r="F35" s="8">
        <f>100*(F31-$H32)/$H32</f>
        <v>54.05973261463172</v>
      </c>
      <c r="G35" s="3"/>
      <c r="H35" s="3"/>
      <c r="I35" s="3"/>
    </row>
    <row r="36" spans="1:9" ht="30">
      <c r="A36" s="7" t="s">
        <v>35</v>
      </c>
      <c r="B36" s="3">
        <v>34.7</v>
      </c>
      <c r="C36" s="3"/>
      <c r="D36" s="3">
        <v>118</v>
      </c>
      <c r="E36" s="3"/>
      <c r="F36" s="3">
        <v>22.04</v>
      </c>
      <c r="G36" s="3">
        <f>F36/F18</f>
        <v>13.91806052228219</v>
      </c>
      <c r="H36" s="3"/>
      <c r="I36" s="3"/>
    </row>
    <row r="37" spans="1:9" ht="15">
      <c r="A37" s="7"/>
      <c r="B37" s="3"/>
      <c r="C37" s="3"/>
      <c r="D37" s="3"/>
      <c r="E37" s="3"/>
      <c r="F37" s="3"/>
      <c r="G37" s="3"/>
      <c r="H37" s="3"/>
      <c r="I37" s="3"/>
    </row>
    <row r="38" spans="1:9" ht="30">
      <c r="A38" s="7" t="s">
        <v>25</v>
      </c>
      <c r="B38" s="8">
        <f>B30/(B18/($F18+$D18+$B18))</f>
        <v>248.0126154767138</v>
      </c>
      <c r="C38" s="3"/>
      <c r="D38" s="8">
        <f>D30/(D18/($F18+$D18+$B18))</f>
        <v>783.8452145631773</v>
      </c>
      <c r="E38" s="3"/>
      <c r="F38" s="8">
        <f>F30/(F18/($F18+$D18+$B18))</f>
        <v>48.37125933871006</v>
      </c>
      <c r="G38" s="3"/>
      <c r="H38" s="8">
        <f>1/(1/F38+1/D38+1/B38)</f>
        <v>38.489297738067144</v>
      </c>
      <c r="I38" s="8">
        <f>H38/I18</f>
        <v>10.954087783997076</v>
      </c>
    </row>
    <row r="39" spans="1:9" ht="30">
      <c r="A39" s="7" t="s">
        <v>25</v>
      </c>
      <c r="B39" s="8">
        <f>B30/(B20/($F20+$D20+$B20))</f>
        <v>183.679689884804</v>
      </c>
      <c r="C39" s="3"/>
      <c r="D39" s="8">
        <f>D30/(D20/($F20+$D20+$B20))</f>
        <v>990.5607222091611</v>
      </c>
      <c r="E39" s="3"/>
      <c r="F39" s="8">
        <f>F30/(F20/($F20+$D20+$B20))</f>
        <v>57.12125907253882</v>
      </c>
      <c r="G39" s="3"/>
      <c r="H39" s="8">
        <f>1/(1/F39+1/D39+1/B39)</f>
        <v>41.73551949270616</v>
      </c>
      <c r="I39" s="8">
        <f>H39/I20</f>
        <v>2.6310825697366287</v>
      </c>
    </row>
  </sheetData>
  <sheetProtection/>
  <mergeCells count="4">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5"/>
  <sheetViews>
    <sheetView tabSelected="1" zoomScale="85" zoomScaleNormal="85" zoomScalePageLayoutView="0" workbookViewId="0" topLeftCell="A1">
      <selection activeCell="C14" sqref="C14"/>
    </sheetView>
  </sheetViews>
  <sheetFormatPr defaultColWidth="11.421875" defaultRowHeight="15"/>
  <cols>
    <col min="1" max="1" width="40.7109375" style="11" customWidth="1"/>
    <col min="2" max="13" width="20.7109375" style="11" customWidth="1"/>
    <col min="14" max="14" width="40.7109375" style="11" customWidth="1"/>
    <col min="15" max="20" width="20.7109375" style="11" customWidth="1"/>
    <col min="21" max="16384" width="11.421875" style="11" customWidth="1"/>
  </cols>
  <sheetData>
    <row r="1" ht="18.75">
      <c r="A1" s="10" t="s">
        <v>59</v>
      </c>
    </row>
    <row r="2" ht="18.75">
      <c r="A2" s="10" t="s">
        <v>60</v>
      </c>
    </row>
    <row r="3" spans="2:3" ht="18.75">
      <c r="B3" s="12"/>
      <c r="C3" s="12"/>
    </row>
    <row r="4" spans="1:10" ht="18.75">
      <c r="A4" s="91" t="s">
        <v>126</v>
      </c>
      <c r="B4" s="91"/>
      <c r="C4" s="91"/>
      <c r="D4" s="91"/>
      <c r="E4" s="91"/>
      <c r="F4" s="53"/>
      <c r="G4" s="21"/>
      <c r="H4" s="53"/>
      <c r="I4" s="53"/>
      <c r="J4" s="21"/>
    </row>
    <row r="5" spans="1:10" ht="18.75">
      <c r="A5" s="91"/>
      <c r="B5" s="91"/>
      <c r="C5" s="91"/>
      <c r="D5" s="91"/>
      <c r="E5" s="91"/>
      <c r="F5" s="53"/>
      <c r="G5" s="21"/>
      <c r="H5" s="53"/>
      <c r="I5" s="53"/>
      <c r="J5" s="21"/>
    </row>
    <row r="6" spans="1:10" ht="18.75">
      <c r="A6" s="52"/>
      <c r="B6" s="53"/>
      <c r="C6" s="53"/>
      <c r="D6" s="53"/>
      <c r="E6" s="53"/>
      <c r="F6" s="53"/>
      <c r="G6" s="21"/>
      <c r="H6" s="53"/>
      <c r="I6" s="53"/>
      <c r="J6" s="21"/>
    </row>
    <row r="7" spans="1:20" ht="37.5">
      <c r="A7" s="68" t="s">
        <v>76</v>
      </c>
      <c r="B7" s="72"/>
      <c r="C7" s="23"/>
      <c r="D7" s="23"/>
      <c r="E7" s="23"/>
      <c r="F7" s="23"/>
      <c r="G7" s="23"/>
      <c r="H7" s="23"/>
      <c r="I7" s="23"/>
      <c r="J7" s="23"/>
      <c r="K7" s="23"/>
      <c r="L7" s="23"/>
      <c r="M7" s="73"/>
      <c r="N7" s="18" t="s">
        <v>77</v>
      </c>
      <c r="O7" s="13" t="s">
        <v>97</v>
      </c>
      <c r="P7" s="13" t="s">
        <v>98</v>
      </c>
      <c r="Q7" s="14"/>
      <c r="R7" s="14"/>
      <c r="S7" s="14"/>
      <c r="T7" s="14"/>
    </row>
    <row r="8" spans="1:20" ht="37.5">
      <c r="A8" s="15" t="s">
        <v>62</v>
      </c>
      <c r="B8" s="19" t="s">
        <v>139</v>
      </c>
      <c r="C8" s="62"/>
      <c r="D8" s="23"/>
      <c r="E8" s="23"/>
      <c r="F8" s="23"/>
      <c r="G8" s="23"/>
      <c r="H8" s="23"/>
      <c r="I8" s="23"/>
      <c r="J8" s="23"/>
      <c r="K8" s="23"/>
      <c r="L8" s="63"/>
      <c r="M8" s="92" t="s">
        <v>123</v>
      </c>
      <c r="N8" s="15" t="s">
        <v>122</v>
      </c>
      <c r="O8" s="16" t="s">
        <v>142</v>
      </c>
      <c r="P8" s="16" t="s">
        <v>143</v>
      </c>
      <c r="Q8" s="16" t="s">
        <v>143</v>
      </c>
      <c r="R8" s="16" t="s">
        <v>143</v>
      </c>
      <c r="S8" s="16" t="s">
        <v>143</v>
      </c>
      <c r="T8" s="16"/>
    </row>
    <row r="9" spans="1:20" ht="18.75">
      <c r="A9" s="15" t="s">
        <v>68</v>
      </c>
      <c r="B9" s="19" t="s">
        <v>56</v>
      </c>
      <c r="C9" s="62"/>
      <c r="D9" s="23"/>
      <c r="E9" s="23"/>
      <c r="F9" s="23"/>
      <c r="G9" s="23"/>
      <c r="H9" s="23"/>
      <c r="I9" s="23"/>
      <c r="J9" s="23"/>
      <c r="K9" s="23"/>
      <c r="L9" s="63"/>
      <c r="M9" s="93"/>
      <c r="N9" s="14" t="s">
        <v>125</v>
      </c>
      <c r="O9" s="65">
        <v>0.00185</v>
      </c>
      <c r="P9" s="65">
        <v>0.00182</v>
      </c>
      <c r="Q9" s="65">
        <v>0.00182</v>
      </c>
      <c r="R9" s="65">
        <v>0.00182</v>
      </c>
      <c r="S9" s="65">
        <v>0.00182</v>
      </c>
      <c r="T9" s="65"/>
    </row>
    <row r="10" spans="1:20" ht="76.5">
      <c r="A10" s="15" t="s">
        <v>72</v>
      </c>
      <c r="B10" s="19" t="s">
        <v>57</v>
      </c>
      <c r="C10" s="62"/>
      <c r="D10" s="23"/>
      <c r="E10" s="23"/>
      <c r="F10" s="23"/>
      <c r="G10" s="23"/>
      <c r="H10" s="23"/>
      <c r="I10" s="23"/>
      <c r="J10" s="23"/>
      <c r="K10" s="23"/>
      <c r="L10" s="63"/>
      <c r="M10" s="94"/>
      <c r="N10" s="14" t="s">
        <v>127</v>
      </c>
      <c r="O10" s="48">
        <f aca="true" t="shared" si="0" ref="O10:T10">O9/(O$9+O$12+O$15)</f>
        <v>0.6434782608695653</v>
      </c>
      <c r="P10" s="48">
        <f t="shared" si="0"/>
        <v>0.9314227226202662</v>
      </c>
      <c r="Q10" s="48">
        <f t="shared" si="0"/>
        <v>0.9405684754521964</v>
      </c>
      <c r="R10" s="48">
        <f t="shared" si="0"/>
        <v>0.962962962962963</v>
      </c>
      <c r="S10" s="48">
        <f t="shared" si="0"/>
        <v>0.9680851063829787</v>
      </c>
      <c r="T10" s="48" t="e">
        <f t="shared" si="0"/>
        <v>#DIV/0!</v>
      </c>
    </row>
    <row r="11" spans="1:20" ht="37.5">
      <c r="A11" s="15" t="s">
        <v>73</v>
      </c>
      <c r="B11" s="19"/>
      <c r="C11" s="62"/>
      <c r="D11" s="23"/>
      <c r="E11" s="23"/>
      <c r="F11" s="23"/>
      <c r="G11" s="23"/>
      <c r="H11" s="23"/>
      <c r="I11" s="23"/>
      <c r="J11" s="23"/>
      <c r="K11" s="23"/>
      <c r="L11" s="63"/>
      <c r="M11" s="80" t="s">
        <v>124</v>
      </c>
      <c r="N11" s="15" t="s">
        <v>122</v>
      </c>
      <c r="O11" s="16" t="s">
        <v>142</v>
      </c>
      <c r="P11" s="16" t="s">
        <v>143</v>
      </c>
      <c r="Q11" s="16" t="s">
        <v>148</v>
      </c>
      <c r="R11" s="16" t="s">
        <v>147</v>
      </c>
      <c r="S11" s="16" t="s">
        <v>149</v>
      </c>
      <c r="T11" s="16"/>
    </row>
    <row r="12" spans="1:20" ht="21">
      <c r="A12" s="14" t="s">
        <v>61</v>
      </c>
      <c r="B12" s="16">
        <v>0.989</v>
      </c>
      <c r="C12" s="74"/>
      <c r="D12" s="72"/>
      <c r="E12" s="23"/>
      <c r="F12" s="23"/>
      <c r="G12" s="23"/>
      <c r="H12" s="23"/>
      <c r="I12" s="23"/>
      <c r="J12" s="23"/>
      <c r="K12" s="23"/>
      <c r="L12" s="63"/>
      <c r="M12" s="81"/>
      <c r="N12" s="14" t="s">
        <v>125</v>
      </c>
      <c r="O12" s="65">
        <v>0.001025</v>
      </c>
      <c r="P12" s="65">
        <v>0.000134</v>
      </c>
      <c r="Q12" s="65">
        <v>0.000115</v>
      </c>
      <c r="R12" s="65">
        <v>7E-05</v>
      </c>
      <c r="S12" s="65">
        <v>6E-05</v>
      </c>
      <c r="T12" s="65"/>
    </row>
    <row r="13" spans="1:20" ht="98.25">
      <c r="A13" s="15"/>
      <c r="B13" s="14" t="s">
        <v>121</v>
      </c>
      <c r="C13" s="14" t="s">
        <v>70</v>
      </c>
      <c r="D13" s="14" t="s">
        <v>128</v>
      </c>
      <c r="E13" s="62"/>
      <c r="F13" s="23"/>
      <c r="G13" s="23"/>
      <c r="H13" s="23"/>
      <c r="I13" s="23"/>
      <c r="J13" s="23"/>
      <c r="K13" s="23"/>
      <c r="L13" s="63"/>
      <c r="M13" s="82"/>
      <c r="N13" s="14" t="s">
        <v>127</v>
      </c>
      <c r="O13" s="48">
        <f aca="true" t="shared" si="1" ref="O13:T13">O12/(O$9+O$12+O$15)</f>
        <v>0.35652173913043483</v>
      </c>
      <c r="P13" s="48">
        <f t="shared" si="1"/>
        <v>0.06857727737973388</v>
      </c>
      <c r="Q13" s="48">
        <f t="shared" si="1"/>
        <v>0.059431524547803614</v>
      </c>
      <c r="R13" s="48">
        <f t="shared" si="1"/>
        <v>0.037037037037037035</v>
      </c>
      <c r="S13" s="48">
        <f t="shared" si="1"/>
        <v>0.03191489361702128</v>
      </c>
      <c r="T13" s="48" t="e">
        <f t="shared" si="1"/>
        <v>#DIV/0!</v>
      </c>
    </row>
    <row r="14" spans="1:20" ht="37.5">
      <c r="A14" s="14" t="s">
        <v>69</v>
      </c>
      <c r="B14" s="16">
        <v>100</v>
      </c>
      <c r="C14" s="69">
        <f>B14/(B$12*1000)</f>
        <v>0.10111223458038422</v>
      </c>
      <c r="D14" s="69">
        <f>C14/(C$14+C$15+C$16)</f>
        <v>0.9523809523809524</v>
      </c>
      <c r="E14" s="62"/>
      <c r="F14" s="23"/>
      <c r="G14" s="23"/>
      <c r="H14" s="24"/>
      <c r="I14" s="23"/>
      <c r="J14" s="23"/>
      <c r="K14" s="23"/>
      <c r="L14" s="63"/>
      <c r="M14" s="92" t="s">
        <v>135</v>
      </c>
      <c r="N14" s="15" t="s">
        <v>122</v>
      </c>
      <c r="O14" s="16"/>
      <c r="P14" s="16"/>
      <c r="Q14" s="16"/>
      <c r="R14" s="16"/>
      <c r="S14" s="16"/>
      <c r="T14" s="16"/>
    </row>
    <row r="15" spans="1:20" ht="37.5">
      <c r="A15" s="14" t="s">
        <v>74</v>
      </c>
      <c r="B15" s="16">
        <v>5</v>
      </c>
      <c r="C15" s="69">
        <f>B15/(B$12*1000)</f>
        <v>0.005055611729019211</v>
      </c>
      <c r="D15" s="69">
        <f>C15/(C$14+C$15+C$16)</f>
        <v>0.04761904761904762</v>
      </c>
      <c r="E15" s="62"/>
      <c r="F15" s="23"/>
      <c r="G15" s="23"/>
      <c r="H15" s="75"/>
      <c r="I15" s="23"/>
      <c r="J15" s="23"/>
      <c r="K15" s="23"/>
      <c r="L15" s="63"/>
      <c r="M15" s="93"/>
      <c r="N15" s="14" t="s">
        <v>125</v>
      </c>
      <c r="O15" s="65"/>
      <c r="P15" s="65"/>
      <c r="Q15" s="65"/>
      <c r="R15" s="65"/>
      <c r="S15" s="65"/>
      <c r="T15" s="65"/>
    </row>
    <row r="16" spans="1:20" ht="76.5">
      <c r="A16" s="14" t="s">
        <v>75</v>
      </c>
      <c r="B16" s="16"/>
      <c r="C16" s="69">
        <f>B16/(B$12*1000)</f>
        <v>0</v>
      </c>
      <c r="D16" s="69">
        <f>C16/(C$14+C$15+C$16)</f>
        <v>0</v>
      </c>
      <c r="E16" s="76"/>
      <c r="F16" s="23"/>
      <c r="G16" s="23"/>
      <c r="H16" s="24"/>
      <c r="I16" s="24"/>
      <c r="J16" s="23"/>
      <c r="K16" s="23"/>
      <c r="L16" s="63"/>
      <c r="M16" s="94"/>
      <c r="N16" s="14" t="s">
        <v>127</v>
      </c>
      <c r="O16" s="48">
        <f>O15/(O$9+O$12+O$15)</f>
        <v>0</v>
      </c>
      <c r="P16" s="48">
        <f>P15/(P$9+P$12+P$15)</f>
        <v>0</v>
      </c>
      <c r="Q16" s="48">
        <f>Q15/(Q$9+Q$12+Q$15)</f>
        <v>0</v>
      </c>
      <c r="R16" s="48">
        <f>R15/(R$9+R$12+R$15)</f>
        <v>0</v>
      </c>
      <c r="S16" s="48">
        <f>S15/(S$9+S$12+S$15)</f>
        <v>0</v>
      </c>
      <c r="T16" s="48" t="e">
        <f>T15/(T$9+T$12+T$15)</f>
        <v>#DIV/0!</v>
      </c>
    </row>
    <row r="17" spans="1:20" ht="57.75">
      <c r="A17" s="50"/>
      <c r="B17" s="78"/>
      <c r="C17" s="79"/>
      <c r="D17" s="78"/>
      <c r="E17" s="77"/>
      <c r="F17" s="72"/>
      <c r="G17" s="72"/>
      <c r="H17" s="77"/>
      <c r="I17" s="77"/>
      <c r="J17" s="72"/>
      <c r="K17" s="72"/>
      <c r="L17" s="72"/>
      <c r="M17" s="83"/>
      <c r="N17" s="14" t="s">
        <v>102</v>
      </c>
      <c r="O17" s="66">
        <f aca="true" t="shared" si="2" ref="O17:T17">O9+O12+O15</f>
        <v>0.002875</v>
      </c>
      <c r="P17" s="66">
        <f t="shared" si="2"/>
        <v>0.001954</v>
      </c>
      <c r="Q17" s="66">
        <f t="shared" si="2"/>
        <v>0.001935</v>
      </c>
      <c r="R17" s="66">
        <f t="shared" si="2"/>
        <v>0.00189</v>
      </c>
      <c r="S17" s="66">
        <f t="shared" si="2"/>
        <v>0.00188</v>
      </c>
      <c r="T17" s="66">
        <f t="shared" si="2"/>
        <v>0</v>
      </c>
    </row>
    <row r="18" spans="1:20" s="46" customFormat="1" ht="18.75">
      <c r="A18" s="70" t="s">
        <v>22</v>
      </c>
      <c r="B18" s="50"/>
      <c r="C18" s="50"/>
      <c r="D18" s="50"/>
      <c r="E18" s="50"/>
      <c r="F18" s="50"/>
      <c r="G18" s="50"/>
      <c r="H18" s="50"/>
      <c r="I18" s="50"/>
      <c r="J18" s="50"/>
      <c r="K18" s="50"/>
      <c r="L18" s="50"/>
      <c r="M18" s="50"/>
      <c r="N18" s="71"/>
      <c r="O18" s="71"/>
      <c r="P18" s="71"/>
      <c r="Q18" s="71"/>
      <c r="R18" s="71"/>
      <c r="S18" s="71"/>
      <c r="T18" s="71"/>
    </row>
    <row r="19" spans="1:20" ht="98.25">
      <c r="A19" s="14" t="s">
        <v>82</v>
      </c>
      <c r="B19" s="15" t="s">
        <v>71</v>
      </c>
      <c r="C19" s="15" t="s">
        <v>100</v>
      </c>
      <c r="D19" s="15" t="s">
        <v>130</v>
      </c>
      <c r="E19" s="15" t="s">
        <v>131</v>
      </c>
      <c r="F19" s="15" t="s">
        <v>132</v>
      </c>
      <c r="G19" s="15" t="s">
        <v>133</v>
      </c>
      <c r="H19" s="15" t="s">
        <v>136</v>
      </c>
      <c r="I19" s="15" t="s">
        <v>137</v>
      </c>
      <c r="J19" s="15" t="s">
        <v>138</v>
      </c>
      <c r="K19" s="14" t="s">
        <v>151</v>
      </c>
      <c r="L19" s="14" t="s">
        <v>85</v>
      </c>
      <c r="M19" s="14" t="s">
        <v>96</v>
      </c>
      <c r="N19" s="22"/>
      <c r="O19" s="88" t="s">
        <v>134</v>
      </c>
      <c r="P19" s="89"/>
      <c r="Q19" s="89"/>
      <c r="R19" s="89"/>
      <c r="S19" s="89"/>
      <c r="T19" s="90"/>
    </row>
    <row r="20" spans="1:20" ht="20.25">
      <c r="A20" s="16" t="s">
        <v>63</v>
      </c>
      <c r="B20" s="16">
        <v>18.6</v>
      </c>
      <c r="C20" s="48">
        <f>B20*(C$14+C$15+C$16)</f>
        <v>1.974721941354904</v>
      </c>
      <c r="D20" s="16">
        <v>0.225</v>
      </c>
      <c r="E20" s="16">
        <v>100</v>
      </c>
      <c r="F20" s="16"/>
      <c r="G20" s="16">
        <v>0.01</v>
      </c>
      <c r="H20" s="51">
        <f>1/($D$14/D20)</f>
        <v>0.23625000000000002</v>
      </c>
      <c r="I20" s="51">
        <f>1/($D$15/E20)</f>
        <v>2099.9999999999995</v>
      </c>
      <c r="J20" s="51">
        <f>(IF(F20="","",1/($D$16/F20)))</f>
      </c>
      <c r="K20" s="48">
        <f>IF(F20="",1/(1/H20+1/I20),1/(1/H20+1/I20+1/J20))</f>
        <v>0.23622342486470274</v>
      </c>
      <c r="L20" s="48">
        <f>K20/C20</f>
        <v>0.11962363911479314</v>
      </c>
      <c r="M20" s="48">
        <f>K20/O20</f>
        <v>0.6764183594563005</v>
      </c>
      <c r="N20" s="22"/>
      <c r="O20" s="48">
        <f>IF($F20="",1/(O$10/$D20+O$13/$E20),1/(O$10/$D20+O$13/$E20+O$16/$F20))</f>
        <v>0.34922680847187115</v>
      </c>
      <c r="P20" s="48">
        <f aca="true" t="shared" si="3" ref="P20:T24">IF($F20="",1/(P$10/$D20+P$13/$E20),1/(P$10/$D20+P$13/$E20+P$16/$F20))</f>
        <v>0.241525923040771</v>
      </c>
      <c r="Q20" s="48">
        <f t="shared" si="3"/>
        <v>0.23918302823705695</v>
      </c>
      <c r="R20" s="48">
        <f t="shared" si="3"/>
        <v>0.23363362785912759</v>
      </c>
      <c r="S20" s="48">
        <f t="shared" si="3"/>
        <v>0.23240034393053266</v>
      </c>
      <c r="T20" s="48" t="e">
        <f t="shared" si="3"/>
        <v>#DIV/0!</v>
      </c>
    </row>
    <row r="21" spans="1:20" ht="20.25">
      <c r="A21" s="16" t="s">
        <v>64</v>
      </c>
      <c r="B21" s="16">
        <v>27</v>
      </c>
      <c r="C21" s="48">
        <f>B21*(C$14+C$15+C$16)</f>
        <v>2.866531850353893</v>
      </c>
      <c r="D21" s="16">
        <v>0.183</v>
      </c>
      <c r="E21" s="16">
        <v>292</v>
      </c>
      <c r="F21" s="16"/>
      <c r="G21" s="16">
        <v>0.01</v>
      </c>
      <c r="H21" s="51">
        <f>1/($D$14/D21)</f>
        <v>0.19214999999999996</v>
      </c>
      <c r="I21" s="51">
        <f>1/($D$15/E21)</f>
        <v>6131.999999999999</v>
      </c>
      <c r="J21" s="51">
        <f>(IF(F21="","",1/($D$16/F21)))</f>
      </c>
      <c r="K21" s="48">
        <f>IF(F21="",1/(1/H21+1/I21),1/(1/H21+1/I21+1/J21))</f>
        <v>0.19214397904997152</v>
      </c>
      <c r="L21" s="48">
        <f>K21/C21</f>
        <v>0.06703012179203592</v>
      </c>
      <c r="M21" s="48">
        <f>K21/O21</f>
        <v>0.6758656036455796</v>
      </c>
      <c r="N21" s="22"/>
      <c r="O21" s="48">
        <f>IF($F21="",1/(O$10/$D21+O$13/$E21),1/(O$10/$D21+O$13/$E21+O$16/$F21))</f>
        <v>0.2842931760597937</v>
      </c>
      <c r="P21" s="48">
        <f t="shared" si="3"/>
        <v>0.19646456099660403</v>
      </c>
      <c r="Q21" s="48">
        <f t="shared" si="3"/>
        <v>0.19455548242486898</v>
      </c>
      <c r="R21" s="48">
        <f t="shared" si="3"/>
        <v>0.19003388090092138</v>
      </c>
      <c r="S21" s="48">
        <f t="shared" si="3"/>
        <v>0.18902906153263654</v>
      </c>
      <c r="T21" s="48" t="e">
        <f t="shared" si="3"/>
        <v>#DIV/0!</v>
      </c>
    </row>
    <row r="22" spans="1:20" ht="20.25">
      <c r="A22" s="16" t="s">
        <v>65</v>
      </c>
      <c r="B22" s="16">
        <v>1.73</v>
      </c>
      <c r="C22" s="48">
        <f>B22*(C$14+C$15+C$16)</f>
        <v>0.18367037411526793</v>
      </c>
      <c r="D22" s="16">
        <v>0.208</v>
      </c>
      <c r="E22" s="16">
        <v>0.00894</v>
      </c>
      <c r="F22" s="16"/>
      <c r="G22" s="16">
        <v>0.1</v>
      </c>
      <c r="H22" s="51">
        <f>1/($D$14/D22)</f>
        <v>0.21839999999999998</v>
      </c>
      <c r="I22" s="51">
        <f>1/($D$15/E22)</f>
        <v>0.18774</v>
      </c>
      <c r="J22" s="51">
        <f>(IF(F22="","",1/($D$16/F22)))</f>
      </c>
      <c r="K22" s="48">
        <f>IF(F22="",1/(1/H22+1/I22),1/(1/H22+1/I22+1/J22))</f>
        <v>0.10095635987590486</v>
      </c>
      <c r="L22" s="48">
        <f>K22/C22</f>
        <v>0.5496605555588765</v>
      </c>
      <c r="M22" s="48">
        <f>K22/O22</f>
        <v>4.338401151027382</v>
      </c>
      <c r="N22" s="22"/>
      <c r="O22" s="48">
        <f>IF($F22="",1/(O$10/$D22+O$13/$E22),1/(O$10/$D22+O$13/$E22+O$16/$F22))</f>
        <v>0.023270406852994047</v>
      </c>
      <c r="P22" s="48">
        <f t="shared" si="3"/>
        <v>0.08231245140770409</v>
      </c>
      <c r="Q22" s="48">
        <f t="shared" si="3"/>
        <v>0.08952723508862724</v>
      </c>
      <c r="R22" s="48">
        <f t="shared" si="3"/>
        <v>0.11399291617473437</v>
      </c>
      <c r="S22" s="48">
        <f t="shared" si="3"/>
        <v>0.12159305480195333</v>
      </c>
      <c r="T22" s="48" t="e">
        <f t="shared" si="3"/>
        <v>#DIV/0!</v>
      </c>
    </row>
    <row r="23" spans="1:20" ht="20.25">
      <c r="A23" s="16" t="s">
        <v>66</v>
      </c>
      <c r="B23" s="16">
        <v>0.156</v>
      </c>
      <c r="C23" s="48">
        <f>B23*(C$14+C$15+C$16)</f>
        <v>0.016562184024266936</v>
      </c>
      <c r="D23" s="16">
        <v>2.31</v>
      </c>
      <c r="E23" s="16">
        <v>0.00118</v>
      </c>
      <c r="F23" s="16"/>
      <c r="G23" s="16">
        <v>0.1</v>
      </c>
      <c r="H23" s="51">
        <f>1/($D$14/D23)</f>
        <v>2.4255</v>
      </c>
      <c r="I23" s="51">
        <f>1/($D$15/E23)</f>
        <v>0.02478</v>
      </c>
      <c r="J23" s="51">
        <f>(IF(F23="","",1/($D$16/F23)))</f>
      </c>
      <c r="K23" s="48">
        <f>IF(F23="",1/(1/H23+1/I23),1/(1/H23+1/I23+1/J23))</f>
        <v>0.024529396640383956</v>
      </c>
      <c r="L23" s="48">
        <f>K23/C23</f>
        <v>1.4810484296300204</v>
      </c>
      <c r="M23" s="48">
        <f>K23/O23</f>
        <v>7.4180729158903596</v>
      </c>
      <c r="N23" s="22"/>
      <c r="O23" s="48">
        <f>IF($F23="",1/(O$10/$D23+O$13/$E23),1/(O$10/$D23+O$13/$E23+O$16/$F23))</f>
        <v>0.0033067074048084896</v>
      </c>
      <c r="P23" s="48">
        <f t="shared" si="3"/>
        <v>0.01708830636829954</v>
      </c>
      <c r="Q23" s="48">
        <f t="shared" si="3"/>
        <v>0.01969555739110433</v>
      </c>
      <c r="R23" s="48">
        <f t="shared" si="3"/>
        <v>0.031442401353452845</v>
      </c>
      <c r="S23" s="48">
        <f t="shared" si="3"/>
        <v>0.036409175005470786</v>
      </c>
      <c r="T23" s="48" t="e">
        <f t="shared" si="3"/>
        <v>#DIV/0!</v>
      </c>
    </row>
    <row r="24" spans="1:20" ht="20.25">
      <c r="A24" s="16" t="s">
        <v>67</v>
      </c>
      <c r="B24" s="16">
        <v>0.235</v>
      </c>
      <c r="C24" s="48">
        <f>B24*(C$14+C$15+C$16)</f>
        <v>0.024949443882709806</v>
      </c>
      <c r="D24" s="16">
        <v>0.0536</v>
      </c>
      <c r="E24" s="16">
        <v>0.00151</v>
      </c>
      <c r="F24" s="16"/>
      <c r="G24" s="16">
        <v>0.1</v>
      </c>
      <c r="H24" s="51">
        <f>1/($D$14/D24)</f>
        <v>0.05628</v>
      </c>
      <c r="I24" s="51">
        <f>1/($D$15/E24)</f>
        <v>0.03171</v>
      </c>
      <c r="J24" s="51">
        <f>(IF(F24="","",1/($D$16/F24)))</f>
      </c>
      <c r="K24" s="48">
        <f>IF(F24="",1/(1/H24+1/I24),1/(1/H24+1/I24+1/J24))</f>
        <v>0.020282291169451072</v>
      </c>
      <c r="L24" s="48">
        <f>K24/C24</f>
        <v>0.8129356014827603</v>
      </c>
      <c r="M24" s="48">
        <f>K24/O24</f>
        <v>5.032285981114455</v>
      </c>
      <c r="N24" s="22"/>
      <c r="O24" s="48">
        <f>IF($F24="",1/(O$10/$D24+O$13/$E24),1/(O$10/$D24+O$13/$E24+O$16/$F24))</f>
        <v>0.004030432937549256</v>
      </c>
      <c r="P24" s="48">
        <f t="shared" si="3"/>
        <v>0.01592541679254023</v>
      </c>
      <c r="Q24" s="48">
        <f t="shared" si="3"/>
        <v>0.01757267116985705</v>
      </c>
      <c r="R24" s="48">
        <f t="shared" si="3"/>
        <v>0.023532974370019385</v>
      </c>
      <c r="S24" s="48">
        <f t="shared" si="3"/>
        <v>0.025512169276684215</v>
      </c>
      <c r="T24" s="48" t="e">
        <f t="shared" si="3"/>
        <v>#DIV/0!</v>
      </c>
    </row>
    <row r="25" spans="1:20" ht="57.75">
      <c r="A25" s="14" t="s">
        <v>78</v>
      </c>
      <c r="B25" s="16"/>
      <c r="C25" s="16"/>
      <c r="D25" s="84" t="s">
        <v>141</v>
      </c>
      <c r="E25" s="84" t="s">
        <v>140</v>
      </c>
      <c r="F25" s="16"/>
      <c r="G25" s="16"/>
      <c r="H25" s="15"/>
      <c r="I25" s="15"/>
      <c r="J25" s="15"/>
      <c r="K25" s="14"/>
      <c r="L25" s="14"/>
      <c r="M25" s="14"/>
      <c r="N25" s="22"/>
      <c r="O25" s="22"/>
      <c r="P25" s="22"/>
      <c r="Q25" s="22"/>
      <c r="R25" s="22"/>
      <c r="S25" s="22"/>
      <c r="T25" s="22"/>
    </row>
  </sheetData>
  <sheetProtection/>
  <mergeCells count="4">
    <mergeCell ref="O19:T19"/>
    <mergeCell ref="A4:E5"/>
    <mergeCell ref="M8:M10"/>
    <mergeCell ref="M14:M1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7"/>
  <sheetViews>
    <sheetView zoomScale="145" zoomScaleNormal="145" zoomScalePageLayoutView="0" workbookViewId="0" topLeftCell="A1">
      <selection activeCell="C7" sqref="C7"/>
    </sheetView>
  </sheetViews>
  <sheetFormatPr defaultColWidth="11.421875" defaultRowHeight="15"/>
  <cols>
    <col min="1" max="1" width="40.7109375" style="25" customWidth="1"/>
    <col min="2" max="7" width="20.7109375" style="25" customWidth="1"/>
    <col min="8" max="16384" width="11.421875" style="25" customWidth="1"/>
  </cols>
  <sheetData>
    <row r="1" ht="18.75">
      <c r="A1" s="10" t="s">
        <v>4</v>
      </c>
    </row>
    <row r="3" spans="1:5" ht="20.25" customHeight="1">
      <c r="A3" s="97" t="s">
        <v>79</v>
      </c>
      <c r="B3" s="97"/>
      <c r="C3" s="97"/>
      <c r="D3" s="97"/>
      <c r="E3" s="97"/>
    </row>
    <row r="4" spans="1:5" ht="18.75">
      <c r="A4" s="97"/>
      <c r="B4" s="97"/>
      <c r="C4" s="97"/>
      <c r="D4" s="97"/>
      <c r="E4" s="97"/>
    </row>
    <row r="6" spans="1:7" ht="20.25">
      <c r="A6" s="95" t="s">
        <v>83</v>
      </c>
      <c r="B6" s="96"/>
      <c r="C6" s="34" t="s">
        <v>2</v>
      </c>
      <c r="D6" s="31"/>
      <c r="E6" s="31"/>
      <c r="F6" s="31"/>
      <c r="G6" s="26"/>
    </row>
    <row r="7" spans="1:7" ht="20.25">
      <c r="A7" s="95" t="s">
        <v>84</v>
      </c>
      <c r="B7" s="96"/>
      <c r="C7" s="34" t="s">
        <v>3</v>
      </c>
      <c r="D7" s="31"/>
      <c r="E7" s="31"/>
      <c r="F7" s="31"/>
      <c r="G7" s="26"/>
    </row>
  </sheetData>
  <sheetProtection/>
  <mergeCells count="3">
    <mergeCell ref="A6:B6"/>
    <mergeCell ref="A7:B7"/>
    <mergeCell ref="A3:E4"/>
  </mergeCells>
  <hyperlinks>
    <hyperlink ref="C6" location="'Step 7'!A1" display="Go to 7"/>
    <hyperlink ref="C7" location="'Step 2'!A1" display="Go to 2"/>
  </hyperlink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5"/>
  <sheetViews>
    <sheetView zoomScale="130" zoomScaleNormal="130" zoomScalePageLayoutView="0" workbookViewId="0" topLeftCell="A1">
      <selection activeCell="A1" sqref="A1"/>
    </sheetView>
  </sheetViews>
  <sheetFormatPr defaultColWidth="11.421875" defaultRowHeight="15"/>
  <cols>
    <col min="1" max="1" width="40.7109375" style="11" customWidth="1"/>
    <col min="2" max="2" width="20.7109375" style="11" customWidth="1"/>
    <col min="3" max="3" width="20.7109375" style="28" customWidth="1"/>
    <col min="4" max="8" width="20.7109375" style="11" customWidth="1"/>
    <col min="9" max="16384" width="11.421875" style="11" customWidth="1"/>
  </cols>
  <sheetData>
    <row r="1" ht="18.75">
      <c r="A1" s="10" t="s">
        <v>5</v>
      </c>
    </row>
    <row r="3" spans="1:7" ht="18.75" customHeight="1">
      <c r="A3" s="99" t="s">
        <v>81</v>
      </c>
      <c r="B3" s="99"/>
      <c r="C3" s="99"/>
      <c r="D3" s="99"/>
      <c r="E3" s="99"/>
      <c r="F3" s="29"/>
      <c r="G3" s="29"/>
    </row>
    <row r="4" spans="1:7" ht="18.75">
      <c r="A4" s="99"/>
      <c r="B4" s="99"/>
      <c r="C4" s="99"/>
      <c r="D4" s="99"/>
      <c r="E4" s="99"/>
      <c r="F4" s="29"/>
      <c r="G4" s="29"/>
    </row>
    <row r="5" spans="1:7" ht="18.75">
      <c r="A5" s="99"/>
      <c r="B5" s="99"/>
      <c r="C5" s="99"/>
      <c r="D5" s="99"/>
      <c r="E5" s="99"/>
      <c r="F5" s="29"/>
      <c r="G5" s="29"/>
    </row>
    <row r="6" spans="1:7" ht="18.75">
      <c r="A6" s="99"/>
      <c r="B6" s="99"/>
      <c r="C6" s="99"/>
      <c r="D6" s="99"/>
      <c r="E6" s="99"/>
      <c r="F6" s="29"/>
      <c r="G6" s="29"/>
    </row>
    <row r="8" spans="3:5" ht="18.75">
      <c r="C8" s="100" t="s">
        <v>86</v>
      </c>
      <c r="D8" s="100"/>
      <c r="E8" s="100"/>
    </row>
    <row r="9" spans="1:5" s="29" customFormat="1" ht="59.25">
      <c r="A9" s="32" t="s">
        <v>82</v>
      </c>
      <c r="B9" s="14" t="s">
        <v>85</v>
      </c>
      <c r="C9" s="36" t="s">
        <v>87</v>
      </c>
      <c r="D9" s="37" t="s">
        <v>88</v>
      </c>
      <c r="E9" s="37" t="s">
        <v>89</v>
      </c>
    </row>
    <row r="10" spans="1:5" s="29" customFormat="1" ht="18.75">
      <c r="A10" s="17" t="str">
        <f>'Aquatox Input parameter'!A20</f>
        <v>LC50 fish</v>
      </c>
      <c r="B10" s="35">
        <f>'Aquatox Input parameter'!L20</f>
        <v>0.11962363911479314</v>
      </c>
      <c r="C10" s="33" t="str">
        <f>IF(B10&lt;0.2,"Got to 9","")</f>
        <v>Got to 9</v>
      </c>
      <c r="D10" s="33">
        <f>IF(AND(B10&lt;=5,B10&gt;=0.2),"Got to 3","")</f>
      </c>
      <c r="E10" s="33">
        <f>IF(B10&gt;5,"Got to 10","")</f>
      </c>
    </row>
    <row r="11" spans="1:5" s="29" customFormat="1" ht="18.75">
      <c r="A11" s="17" t="str">
        <f>'Aquatox Input parameter'!A21</f>
        <v>EC50 daphnids</v>
      </c>
      <c r="B11" s="35">
        <f>'Aquatox Input parameter'!L21</f>
        <v>0.06703012179203592</v>
      </c>
      <c r="C11" s="33" t="str">
        <f>IF(B11&lt;0.2,"Got to 9","")</f>
        <v>Got to 9</v>
      </c>
      <c r="D11" s="33">
        <f>IF(AND(B11&lt;=5,B11&gt;=0.2),"Got to 3","")</f>
      </c>
      <c r="E11" s="33">
        <f>IF(B11&gt;5,"Got to 10","")</f>
      </c>
    </row>
    <row r="12" spans="1:5" s="29" customFormat="1" ht="18.75">
      <c r="A12" s="17" t="str">
        <f>'Aquatox Input parameter'!A22</f>
        <v>ErC50 algae</v>
      </c>
      <c r="B12" s="35">
        <f>'Aquatox Input parameter'!L22</f>
        <v>0.5496605555588765</v>
      </c>
      <c r="C12" s="33">
        <f>IF(B12&lt;0.2,"Got to 9","")</f>
      </c>
      <c r="D12" s="33" t="str">
        <f>IF(AND(B12&lt;=5,B12&gt;=0.2),"Got to 3","")</f>
        <v>Got to 3</v>
      </c>
      <c r="E12" s="33">
        <f>IF(B12&gt;5,"Got to 10","")</f>
      </c>
    </row>
    <row r="13" spans="1:5" s="29" customFormat="1" ht="18.75">
      <c r="A13" s="17" t="str">
        <f>'Aquatox Input parameter'!A23</f>
        <v>ErC50 lemna</v>
      </c>
      <c r="B13" s="35">
        <f>'Aquatox Input parameter'!L23</f>
        <v>1.4810484296300204</v>
      </c>
      <c r="C13" s="33">
        <f>IF(B13&lt;0.2,"Got to 9","")</f>
      </c>
      <c r="D13" s="33" t="str">
        <f>IF(AND(B13&lt;=5,B13&gt;=0.2),"Got to 3","")</f>
        <v>Got to 3</v>
      </c>
      <c r="E13" s="33">
        <f>IF(B13&gt;5,"Got to 10","")</f>
      </c>
    </row>
    <row r="14" spans="1:5" s="29" customFormat="1" ht="18.75">
      <c r="A14" s="17" t="str">
        <f>'Aquatox Input parameter'!A24</f>
        <v>ErC50 myriophyllum</v>
      </c>
      <c r="B14" s="35">
        <f>'Aquatox Input parameter'!L24</f>
        <v>0.8129356014827603</v>
      </c>
      <c r="C14" s="33">
        <f>IF(B14&lt;0.2,"Got to 9","")</f>
      </c>
      <c r="D14" s="33" t="str">
        <f>IF(AND(B14&lt;=5,B14&gt;=0.2),"Got to 3","")</f>
        <v>Got to 3</v>
      </c>
      <c r="E14" s="33">
        <f>IF(B14&gt;5,"Got to 10","")</f>
      </c>
    </row>
    <row r="15" spans="3:5" s="29" customFormat="1" ht="18.75">
      <c r="C15" s="30"/>
      <c r="E15" s="30"/>
    </row>
    <row r="16" spans="1:3" s="29" customFormat="1" ht="18.75">
      <c r="A16" s="38" t="s">
        <v>115</v>
      </c>
      <c r="C16" s="30"/>
    </row>
    <row r="17" spans="1:5" ht="18.75">
      <c r="A17" s="98" t="s">
        <v>90</v>
      </c>
      <c r="B17" s="98"/>
      <c r="C17" s="98"/>
      <c r="D17" s="98"/>
      <c r="E17" s="98"/>
    </row>
    <row r="18" spans="1:5" ht="18.75">
      <c r="A18" s="98"/>
      <c r="B18" s="98"/>
      <c r="C18" s="98"/>
      <c r="D18" s="98"/>
      <c r="E18" s="98"/>
    </row>
    <row r="19" spans="1:5" ht="18.75">
      <c r="A19" s="98"/>
      <c r="B19" s="98"/>
      <c r="C19" s="98"/>
      <c r="D19" s="98"/>
      <c r="E19" s="98"/>
    </row>
    <row r="20" spans="1:5" ht="18.75">
      <c r="A20" s="98"/>
      <c r="B20" s="98"/>
      <c r="C20" s="98"/>
      <c r="D20" s="98"/>
      <c r="E20" s="98"/>
    </row>
    <row r="21" spans="1:5" ht="18.75">
      <c r="A21" s="98" t="s">
        <v>144</v>
      </c>
      <c r="B21" s="98"/>
      <c r="C21" s="98"/>
      <c r="D21" s="98"/>
      <c r="E21" s="98"/>
    </row>
    <row r="22" spans="1:5" ht="18.75">
      <c r="A22" s="98"/>
      <c r="B22" s="98"/>
      <c r="C22" s="98"/>
      <c r="D22" s="98"/>
      <c r="E22" s="98"/>
    </row>
    <row r="23" spans="1:5" ht="18.75">
      <c r="A23" s="98"/>
      <c r="B23" s="98"/>
      <c r="C23" s="98"/>
      <c r="D23" s="98"/>
      <c r="E23" s="98"/>
    </row>
    <row r="24" spans="1:5" ht="18.75">
      <c r="A24" s="98"/>
      <c r="B24" s="98"/>
      <c r="C24" s="98"/>
      <c r="D24" s="98"/>
      <c r="E24" s="98"/>
    </row>
    <row r="25" spans="1:5" ht="18.75">
      <c r="A25" s="98"/>
      <c r="B25" s="98"/>
      <c r="C25" s="98"/>
      <c r="D25" s="98"/>
      <c r="E25" s="98"/>
    </row>
  </sheetData>
  <sheetProtection/>
  <mergeCells count="4">
    <mergeCell ref="A17:E20"/>
    <mergeCell ref="A3:E6"/>
    <mergeCell ref="C8:E8"/>
    <mergeCell ref="A21:E25"/>
  </mergeCells>
  <hyperlinks>
    <hyperlink ref="D10" location="Step3!A1" display="Step3!A1"/>
    <hyperlink ref="D11:D14" location="Step3!A1" display="Step3!A1"/>
    <hyperlink ref="C10:C14" location="'Step 9'!A1" display="'Step 9'!A1"/>
    <hyperlink ref="E10" location="Step9!A1" display="Step9!A1"/>
    <hyperlink ref="E11" location="Step9!A1" display="Step9!A1"/>
    <hyperlink ref="E12" location="Step9!A1" display="Step9!A1"/>
    <hyperlink ref="E13" location="Step9!A1" display="Step9!A1"/>
    <hyperlink ref="E14" location="Step9!A1" display="Step9!A1"/>
    <hyperlink ref="E10:E14" location="'Step 10'!A1" display="'Step 10'!A1"/>
    <hyperlink ref="D10:D14" location="'Step 3'!A1" display="'Step 3'!A1"/>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9"/>
  <sheetViews>
    <sheetView zoomScale="130" zoomScaleNormal="130" zoomScalePageLayoutView="0" workbookViewId="0" topLeftCell="A1">
      <selection activeCell="A1" sqref="A1"/>
    </sheetView>
  </sheetViews>
  <sheetFormatPr defaultColWidth="11.421875" defaultRowHeight="15"/>
  <cols>
    <col min="1" max="1" width="40.7109375" style="25" customWidth="1"/>
    <col min="2" max="7" width="20.7109375" style="25" customWidth="1"/>
    <col min="8" max="16384" width="11.421875" style="25" customWidth="1"/>
  </cols>
  <sheetData>
    <row r="1" ht="18.75">
      <c r="A1" s="27" t="s">
        <v>6</v>
      </c>
    </row>
    <row r="3" spans="1:6" ht="18.75" customHeight="1">
      <c r="A3" s="103" t="s">
        <v>92</v>
      </c>
      <c r="B3" s="103"/>
      <c r="C3" s="103"/>
      <c r="D3" s="103"/>
      <c r="E3" s="103"/>
      <c r="F3" s="29"/>
    </row>
    <row r="4" spans="1:6" ht="18.75">
      <c r="A4" s="103"/>
      <c r="B4" s="103"/>
      <c r="C4" s="103"/>
      <c r="D4" s="103"/>
      <c r="E4" s="103"/>
      <c r="F4" s="29"/>
    </row>
    <row r="5" spans="1:6" ht="18.75">
      <c r="A5" s="103"/>
      <c r="B5" s="103"/>
      <c r="C5" s="103"/>
      <c r="D5" s="103"/>
      <c r="E5" s="103"/>
      <c r="F5" s="29"/>
    </row>
    <row r="6" spans="1:6" ht="18.75">
      <c r="A6" s="103"/>
      <c r="B6" s="103"/>
      <c r="C6" s="103"/>
      <c r="D6" s="103"/>
      <c r="E6" s="103"/>
      <c r="F6" s="29"/>
    </row>
    <row r="7" spans="1:6" ht="18.75">
      <c r="A7" s="103"/>
      <c r="B7" s="103"/>
      <c r="C7" s="103"/>
      <c r="D7" s="103"/>
      <c r="E7" s="103"/>
      <c r="F7" s="29"/>
    </row>
    <row r="8" spans="1:6" ht="18.75">
      <c r="A8" s="103"/>
      <c r="B8" s="103"/>
      <c r="C8" s="103"/>
      <c r="D8" s="103"/>
      <c r="E8" s="103"/>
      <c r="F8" s="29"/>
    </row>
    <row r="9" spans="1:6" ht="18.75">
      <c r="A9" s="103"/>
      <c r="B9" s="103"/>
      <c r="C9" s="103"/>
      <c r="D9" s="103"/>
      <c r="E9" s="103"/>
      <c r="F9" s="29"/>
    </row>
    <row r="10" spans="1:6" ht="18.75">
      <c r="A10" s="103"/>
      <c r="B10" s="103"/>
      <c r="C10" s="103"/>
      <c r="D10" s="103"/>
      <c r="E10" s="103"/>
      <c r="F10" s="29"/>
    </row>
    <row r="11" s="11" customFormat="1" ht="18.75">
      <c r="C11" s="28"/>
    </row>
    <row r="12" spans="3:5" s="11" customFormat="1" ht="18.75">
      <c r="C12" s="101" t="s">
        <v>86</v>
      </c>
      <c r="D12" s="102"/>
      <c r="E12" s="41"/>
    </row>
    <row r="13" spans="1:5" s="29" customFormat="1" ht="60.75">
      <c r="A13" s="32" t="s">
        <v>82</v>
      </c>
      <c r="B13" s="14" t="s">
        <v>95</v>
      </c>
      <c r="C13" s="36" t="s">
        <v>93</v>
      </c>
      <c r="D13" s="39" t="s">
        <v>94</v>
      </c>
      <c r="E13" s="42"/>
    </row>
    <row r="14" spans="1:5" s="29" customFormat="1" ht="18.75">
      <c r="A14" s="17" t="str">
        <f>'Aquatox Input parameter'!A20</f>
        <v>LC50 fish</v>
      </c>
      <c r="B14" s="61">
        <f>'Aquatox Input parameter'!M20</f>
        <v>0.6764183594563005</v>
      </c>
      <c r="C14" s="40">
        <f>IF(AND(B14&gt;=0.8,B14&lt;=1.2),"Go to 4","")</f>
      </c>
      <c r="D14" s="40" t="str">
        <f>IF(OR(B14&lt;0.8,B14&gt;1.2),"Go to 5","")</f>
        <v>Go to 5</v>
      </c>
      <c r="E14" s="43"/>
    </row>
    <row r="15" spans="1:5" s="29" customFormat="1" ht="18.75">
      <c r="A15" s="17" t="str">
        <f>'Aquatox Input parameter'!A21</f>
        <v>EC50 daphnids</v>
      </c>
      <c r="B15" s="61">
        <f>'Aquatox Input parameter'!M21</f>
        <v>0.6758656036455796</v>
      </c>
      <c r="C15" s="40">
        <f>IF(AND(B15&gt;=0.8,B15&lt;=1.2),"Go to 4","")</f>
      </c>
      <c r="D15" s="40" t="str">
        <f>IF(OR(B15&lt;0.8,B15&gt;1.2),"Go to 5","")</f>
        <v>Go to 5</v>
      </c>
      <c r="E15" s="43"/>
    </row>
    <row r="16" spans="1:5" s="29" customFormat="1" ht="18.75">
      <c r="A16" s="17" t="str">
        <f>'Aquatox Input parameter'!A22</f>
        <v>ErC50 algae</v>
      </c>
      <c r="B16" s="61">
        <f>'Aquatox Input parameter'!M22</f>
        <v>4.338401151027382</v>
      </c>
      <c r="C16" s="40">
        <f>IF(AND(B16&gt;=0.8,B16&lt;=1.2),"Go to 4","")</f>
      </c>
      <c r="D16" s="40" t="str">
        <f>IF(OR(B16&lt;0.8,B16&gt;1.2),"Go to 5","")</f>
        <v>Go to 5</v>
      </c>
      <c r="E16" s="43"/>
    </row>
    <row r="17" spans="1:5" s="29" customFormat="1" ht="18.75">
      <c r="A17" s="17" t="str">
        <f>'Aquatox Input parameter'!A23</f>
        <v>ErC50 lemna</v>
      </c>
      <c r="B17" s="61">
        <f>'Aquatox Input parameter'!M23</f>
        <v>7.4180729158903596</v>
      </c>
      <c r="C17" s="40">
        <f>IF(AND(B17&gt;=0.8,B17&lt;=1.2),"Go to 4","")</f>
      </c>
      <c r="D17" s="40" t="str">
        <f>IF(OR(B17&lt;0.8,B17&gt;1.2),"Go to 5","")</f>
        <v>Go to 5</v>
      </c>
      <c r="E17" s="43"/>
    </row>
    <row r="18" spans="1:5" s="29" customFormat="1" ht="18.75">
      <c r="A18" s="17" t="str">
        <f>'Aquatox Input parameter'!A24</f>
        <v>ErC50 myriophyllum</v>
      </c>
      <c r="B18" s="61">
        <f>'Aquatox Input parameter'!M24</f>
        <v>5.032285981114455</v>
      </c>
      <c r="C18" s="40">
        <f>IF(AND(B18&gt;=0.8,B18&lt;=1.2),"Go to 4","")</f>
      </c>
      <c r="D18" s="40" t="str">
        <f>IF(OR(B18&lt;0.8,B18&gt;1.2),"Go to 5","")</f>
        <v>Go to 5</v>
      </c>
      <c r="E18" s="43"/>
    </row>
    <row r="19" spans="3:5" s="29" customFormat="1" ht="18.75">
      <c r="C19" s="30"/>
      <c r="E19" s="30"/>
    </row>
    <row r="20" spans="1:3" s="29" customFormat="1" ht="18.75">
      <c r="A20" s="38" t="s">
        <v>115</v>
      </c>
      <c r="C20" s="30"/>
    </row>
    <row r="21" spans="1:5" s="29" customFormat="1" ht="18.75" customHeight="1">
      <c r="A21" s="98" t="s">
        <v>116</v>
      </c>
      <c r="B21" s="98"/>
      <c r="C21" s="98"/>
      <c r="D21" s="98"/>
      <c r="E21" s="98"/>
    </row>
    <row r="22" spans="1:5" s="29" customFormat="1" ht="18.75">
      <c r="A22" s="98"/>
      <c r="B22" s="98"/>
      <c r="C22" s="98"/>
      <c r="D22" s="98"/>
      <c r="E22" s="98"/>
    </row>
    <row r="23" spans="1:5" s="11" customFormat="1" ht="18.75">
      <c r="A23" s="98"/>
      <c r="B23" s="98"/>
      <c r="C23" s="98"/>
      <c r="D23" s="98"/>
      <c r="E23" s="98"/>
    </row>
    <row r="24" spans="1:5" s="11" customFormat="1" ht="18.75">
      <c r="A24" s="98"/>
      <c r="B24" s="98"/>
      <c r="C24" s="98"/>
      <c r="D24" s="98"/>
      <c r="E24" s="98"/>
    </row>
    <row r="25" spans="1:5" ht="18.75">
      <c r="A25" s="67"/>
      <c r="B25" s="67"/>
      <c r="C25" s="67"/>
      <c r="D25" s="67"/>
      <c r="E25" s="67"/>
    </row>
    <row r="26" spans="1:5" ht="18.75">
      <c r="A26" s="67"/>
      <c r="B26" s="67"/>
      <c r="C26" s="67"/>
      <c r="D26" s="67"/>
      <c r="E26" s="67"/>
    </row>
    <row r="27" spans="1:5" ht="18.75">
      <c r="A27" s="67"/>
      <c r="B27" s="67"/>
      <c r="C27" s="67"/>
      <c r="D27" s="67"/>
      <c r="E27" s="67"/>
    </row>
    <row r="28" spans="1:5" ht="18.75">
      <c r="A28" s="67"/>
      <c r="B28" s="67"/>
      <c r="C28" s="67"/>
      <c r="D28" s="67"/>
      <c r="E28" s="67"/>
    </row>
    <row r="29" spans="1:5" ht="18.75">
      <c r="A29" s="67"/>
      <c r="B29" s="67"/>
      <c r="C29" s="67"/>
      <c r="D29" s="67"/>
      <c r="E29" s="67"/>
    </row>
  </sheetData>
  <sheetProtection/>
  <mergeCells count="3">
    <mergeCell ref="A21:E24"/>
    <mergeCell ref="C12:D12"/>
    <mergeCell ref="A3:E10"/>
  </mergeCells>
  <hyperlinks>
    <hyperlink ref="D14:D18" location="'Step 5'!A1" display="'Step 5'!A1"/>
    <hyperlink ref="C14" location="Step4!A1" display="Step4!A1"/>
    <hyperlink ref="C15:C18" location="Step4!A1" display="Step4!A1"/>
    <hyperlink ref="C14:C18" location="'Step 4'!A1" display="'Step 4'!A1"/>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
      <selection activeCell="A1" sqref="A1"/>
    </sheetView>
  </sheetViews>
  <sheetFormatPr defaultColWidth="11.421875" defaultRowHeight="15"/>
  <cols>
    <col min="1" max="1" width="40.7109375" style="11" customWidth="1"/>
    <col min="2" max="9" width="20.7109375" style="11" customWidth="1"/>
    <col min="10" max="16384" width="11.421875" style="11" customWidth="1"/>
  </cols>
  <sheetData>
    <row r="1" ht="18.75">
      <c r="A1" s="10" t="s">
        <v>8</v>
      </c>
    </row>
    <row r="2" ht="13.5" customHeight="1"/>
    <row r="3" spans="1:7" ht="15.75" customHeight="1">
      <c r="A3" s="103" t="s">
        <v>99</v>
      </c>
      <c r="B3" s="103"/>
      <c r="C3" s="103"/>
      <c r="D3" s="103"/>
      <c r="E3" s="103"/>
      <c r="F3" s="29"/>
      <c r="G3" s="29"/>
    </row>
    <row r="4" spans="1:7" ht="13.5" customHeight="1">
      <c r="A4" s="103"/>
      <c r="B4" s="103"/>
      <c r="C4" s="103"/>
      <c r="D4" s="103"/>
      <c r="E4" s="103"/>
      <c r="F4" s="29"/>
      <c r="G4" s="29"/>
    </row>
    <row r="5" spans="1:7" ht="12" customHeight="1">
      <c r="A5" s="103"/>
      <c r="B5" s="103"/>
      <c r="C5" s="103"/>
      <c r="D5" s="103"/>
      <c r="E5" s="103"/>
      <c r="F5" s="29"/>
      <c r="G5" s="29"/>
    </row>
    <row r="6" spans="1:7" ht="18.75">
      <c r="A6" s="103"/>
      <c r="B6" s="103"/>
      <c r="C6" s="103"/>
      <c r="D6" s="103"/>
      <c r="E6" s="103"/>
      <c r="F6" s="29"/>
      <c r="G6" s="29"/>
    </row>
    <row r="7" s="29" customFormat="1" ht="18.75">
      <c r="C7" s="30"/>
    </row>
    <row r="8" spans="1:8" s="29" customFormat="1" ht="37.5">
      <c r="A8" s="18" t="s">
        <v>77</v>
      </c>
      <c r="B8" s="14"/>
      <c r="C8" s="13" t="s">
        <v>97</v>
      </c>
      <c r="D8" s="13" t="s">
        <v>98</v>
      </c>
      <c r="E8" s="13"/>
      <c r="F8" s="13"/>
      <c r="G8" s="13"/>
      <c r="H8" s="13"/>
    </row>
    <row r="9" spans="1:8" s="29" customFormat="1" ht="37.5">
      <c r="A9" s="20" t="str">
        <f>'Aquatox Input parameter'!N8</f>
        <v>Exposure tier (FOCUS step) </v>
      </c>
      <c r="B9" s="14"/>
      <c r="C9" s="20" t="str">
        <f>'Aquatox Input parameter'!O8</f>
        <v>Step 3 (D2 ditch)</v>
      </c>
      <c r="D9" s="20" t="str">
        <f>'Aquatox Input parameter'!P8</f>
        <v>Step3 (R3 stream)</v>
      </c>
      <c r="E9" s="20" t="str">
        <f>'Aquatox Input parameter'!Q8</f>
        <v>Step3 (R3 stream)</v>
      </c>
      <c r="F9" s="20" t="str">
        <f>'Aquatox Input parameter'!R8</f>
        <v>Step3 (R3 stream)</v>
      </c>
      <c r="G9" s="20" t="str">
        <f>'Aquatox Input parameter'!S8</f>
        <v>Step3 (R3 stream)</v>
      </c>
      <c r="H9" s="20">
        <f>'Aquatox Input parameter'!T8</f>
        <v>0</v>
      </c>
    </row>
    <row r="10" spans="1:8" s="29" customFormat="1" ht="18.75">
      <c r="A10" s="20" t="str">
        <f>'Aquatox Input parameter'!N9</f>
        <v>PECsw [mg a.s./L]</v>
      </c>
      <c r="B10" s="14"/>
      <c r="C10" s="64">
        <f>'Aquatox Input parameter'!O9</f>
        <v>0.00185</v>
      </c>
      <c r="D10" s="64">
        <f>'Aquatox Input parameter'!P9</f>
        <v>0.00182</v>
      </c>
      <c r="E10" s="64">
        <f>'Aquatox Input parameter'!Q9</f>
        <v>0.00182</v>
      </c>
      <c r="F10" s="64">
        <f>'Aquatox Input parameter'!R9</f>
        <v>0.00182</v>
      </c>
      <c r="G10" s="64">
        <f>'Aquatox Input parameter'!S9</f>
        <v>0.00182</v>
      </c>
      <c r="H10" s="64">
        <f>'Aquatox Input parameter'!T9</f>
        <v>0</v>
      </c>
    </row>
    <row r="11" spans="1:8" s="29" customFormat="1" ht="37.5">
      <c r="A11" s="20" t="str">
        <f>'Aquatox Input parameter'!N11</f>
        <v>Exposure tier (FOCUS step) </v>
      </c>
      <c r="B11" s="14"/>
      <c r="C11" s="20" t="str">
        <f>'Aquatox Input parameter'!O11</f>
        <v>Step 3 (D2 ditch)</v>
      </c>
      <c r="D11" s="20" t="str">
        <f>'Aquatox Input parameter'!P11</f>
        <v>Step3 (R3 stream)</v>
      </c>
      <c r="E11" s="20" t="str">
        <f>'Aquatox Input parameter'!Q11</f>
        <v>Step 4 (10 m BZ, R3 stream)</v>
      </c>
      <c r="F11" s="20" t="str">
        <f>'Aquatox Input parameter'!R11</f>
        <v>Step 4 (10 m BZ, R1 stream)</v>
      </c>
      <c r="G11" s="20" t="str">
        <f>'Aquatox Input parameter'!S11</f>
        <v>Step 4 (20 m BZ, R3 stream)</v>
      </c>
      <c r="H11" s="20">
        <f>'Aquatox Input parameter'!T11</f>
        <v>0</v>
      </c>
    </row>
    <row r="12" spans="1:8" s="29" customFormat="1" ht="18.75">
      <c r="A12" s="20" t="str">
        <f>'Aquatox Input parameter'!N12</f>
        <v>PECsw [mg a.s./L]</v>
      </c>
      <c r="B12" s="14"/>
      <c r="C12" s="64">
        <f>'Aquatox Input parameter'!O12</f>
        <v>0.001025</v>
      </c>
      <c r="D12" s="64">
        <f>'Aquatox Input parameter'!P12</f>
        <v>0.000134</v>
      </c>
      <c r="E12" s="64">
        <f>'Aquatox Input parameter'!Q12</f>
        <v>0.000115</v>
      </c>
      <c r="F12" s="64">
        <f>'Aquatox Input parameter'!R12</f>
        <v>7E-05</v>
      </c>
      <c r="G12" s="64">
        <f>'Aquatox Input parameter'!S12</f>
        <v>6E-05</v>
      </c>
      <c r="H12" s="64">
        <f>'Aquatox Input parameter'!T12</f>
        <v>0</v>
      </c>
    </row>
    <row r="13" spans="1:8" s="29" customFormat="1" ht="18.75">
      <c r="A13" s="20" t="str">
        <f>'Aquatox Input parameter'!N14</f>
        <v>Exposure tier (FOCUS step) </v>
      </c>
      <c r="B13" s="14"/>
      <c r="C13" s="20">
        <f>'Aquatox Input parameter'!O14</f>
        <v>0</v>
      </c>
      <c r="D13" s="20">
        <f>'Aquatox Input parameter'!P14</f>
        <v>0</v>
      </c>
      <c r="E13" s="20">
        <f>'Aquatox Input parameter'!Q14</f>
        <v>0</v>
      </c>
      <c r="F13" s="20">
        <f>'Aquatox Input parameter'!R14</f>
        <v>0</v>
      </c>
      <c r="G13" s="20">
        <f>'Aquatox Input parameter'!S14</f>
        <v>0</v>
      </c>
      <c r="H13" s="20">
        <f>'Aquatox Input parameter'!T14</f>
        <v>0</v>
      </c>
    </row>
    <row r="14" spans="1:8" s="29" customFormat="1" ht="18.75">
      <c r="A14" s="20" t="str">
        <f>'Aquatox Input parameter'!N15</f>
        <v>PECsw [mg a.s./L]</v>
      </c>
      <c r="B14" s="14"/>
      <c r="C14" s="64">
        <f>'Aquatox Input parameter'!O15</f>
        <v>0</v>
      </c>
      <c r="D14" s="64">
        <f>'Aquatox Input parameter'!P15</f>
        <v>0</v>
      </c>
      <c r="E14" s="64">
        <f>'Aquatox Input parameter'!Q15</f>
        <v>0</v>
      </c>
      <c r="F14" s="64">
        <f>'Aquatox Input parameter'!R15</f>
        <v>0</v>
      </c>
      <c r="G14" s="64">
        <f>'Aquatox Input parameter'!S15</f>
        <v>0</v>
      </c>
      <c r="H14" s="64">
        <f>'Aquatox Input parameter'!T15</f>
        <v>0</v>
      </c>
    </row>
    <row r="15" spans="1:8" s="29" customFormat="1" ht="56.25">
      <c r="A15" s="20" t="str">
        <f>'Aquatox Input parameter'!N17</f>
        <v>Total exposure concentration of the mixture (a.s. based) (PECmix) [mg/L]</v>
      </c>
      <c r="B15" s="14"/>
      <c r="C15" s="64">
        <f>'Aquatox Input parameter'!O17</f>
        <v>0.002875</v>
      </c>
      <c r="D15" s="64">
        <f>'Aquatox Input parameter'!P17</f>
        <v>0.001954</v>
      </c>
      <c r="E15" s="64">
        <f>'Aquatox Input parameter'!Q17</f>
        <v>0.001935</v>
      </c>
      <c r="F15" s="64">
        <f>'Aquatox Input parameter'!R17</f>
        <v>0.00189</v>
      </c>
      <c r="G15" s="64">
        <f>'Aquatox Input parameter'!S17</f>
        <v>0.00188</v>
      </c>
      <c r="H15" s="64">
        <f>'Aquatox Input parameter'!T17</f>
        <v>0</v>
      </c>
    </row>
    <row r="16" spans="1:5" s="29" customFormat="1" ht="18.75">
      <c r="A16" s="49"/>
      <c r="B16" s="50"/>
      <c r="C16" s="47"/>
      <c r="D16" s="47"/>
      <c r="E16" s="45"/>
    </row>
    <row r="17" spans="1:9" s="29" customFormat="1" ht="76.5">
      <c r="A17" s="14" t="s">
        <v>82</v>
      </c>
      <c r="B17" s="15" t="s">
        <v>100</v>
      </c>
      <c r="C17" s="104" t="s">
        <v>101</v>
      </c>
      <c r="D17" s="104"/>
      <c r="E17" s="104"/>
      <c r="F17" s="104"/>
      <c r="G17" s="104"/>
      <c r="H17" s="104"/>
      <c r="I17" s="37" t="s">
        <v>86</v>
      </c>
    </row>
    <row r="18" spans="1:9" s="29" customFormat="1" ht="18.75">
      <c r="A18" s="17" t="str">
        <f>'Aquatox Input parameter'!A20</f>
        <v>LC50 fish</v>
      </c>
      <c r="B18" s="20">
        <f>'Aquatox Input parameter'!C20</f>
        <v>1.974721941354904</v>
      </c>
      <c r="C18" s="48">
        <f>C$15/$B18</f>
        <v>0.0014559011776753713</v>
      </c>
      <c r="D18" s="48">
        <f aca="true" t="shared" si="0" ref="D18:H22">D$15/$B18</f>
        <v>0.0009895064004096263</v>
      </c>
      <c r="E18" s="48">
        <f t="shared" si="0"/>
        <v>0.0009798847926267282</v>
      </c>
      <c r="F18" s="48">
        <f t="shared" si="0"/>
        <v>0.0009570967741935484</v>
      </c>
      <c r="G18" s="48">
        <f t="shared" si="0"/>
        <v>0.0009520327700972862</v>
      </c>
      <c r="H18" s="48">
        <f t="shared" si="0"/>
        <v>0</v>
      </c>
      <c r="I18" s="35">
        <f>'Aquatox Input parameter'!G20</f>
        <v>0.01</v>
      </c>
    </row>
    <row r="19" spans="1:9" s="29" customFormat="1" ht="18.75">
      <c r="A19" s="17" t="str">
        <f>'Aquatox Input parameter'!A21</f>
        <v>EC50 daphnids</v>
      </c>
      <c r="B19" s="20">
        <f>'Aquatox Input parameter'!C21</f>
        <v>2.866531850353893</v>
      </c>
      <c r="C19" s="48">
        <f>C$15/$B19</f>
        <v>0.0010029541446208113</v>
      </c>
      <c r="D19" s="48">
        <f t="shared" si="0"/>
        <v>0.0006816599647266314</v>
      </c>
      <c r="E19" s="48">
        <f t="shared" si="0"/>
        <v>0.000675031746031746</v>
      </c>
      <c r="F19" s="48">
        <f t="shared" si="0"/>
        <v>0.0006593333333333333</v>
      </c>
      <c r="G19" s="48">
        <f t="shared" si="0"/>
        <v>0.0006558447971781305</v>
      </c>
      <c r="H19" s="48">
        <f t="shared" si="0"/>
        <v>0</v>
      </c>
      <c r="I19" s="35">
        <f>'Aquatox Input parameter'!G21</f>
        <v>0.01</v>
      </c>
    </row>
    <row r="20" spans="1:9" s="29" customFormat="1" ht="18.75">
      <c r="A20" s="17" t="str">
        <f>'Aquatox Input parameter'!A22</f>
        <v>ErC50 algae</v>
      </c>
      <c r="B20" s="20">
        <f>'Aquatox Input parameter'!C22</f>
        <v>0.18367037411526793</v>
      </c>
      <c r="C20" s="48">
        <f>C$15/$B20</f>
        <v>0.01565304156344619</v>
      </c>
      <c r="D20" s="48">
        <f t="shared" si="0"/>
        <v>0.010638623726947427</v>
      </c>
      <c r="E20" s="48">
        <f t="shared" si="0"/>
        <v>0.010535177539223783</v>
      </c>
      <c r="F20" s="48">
        <f t="shared" si="0"/>
        <v>0.010290173410404625</v>
      </c>
      <c r="G20" s="48">
        <f t="shared" si="0"/>
        <v>0.010235728048444812</v>
      </c>
      <c r="H20" s="48">
        <f t="shared" si="0"/>
        <v>0</v>
      </c>
      <c r="I20" s="35">
        <f>'Aquatox Input parameter'!G22</f>
        <v>0.1</v>
      </c>
    </row>
    <row r="21" spans="1:9" s="29" customFormat="1" ht="18.75">
      <c r="A21" s="17" t="str">
        <f>'Aquatox Input parameter'!A23</f>
        <v>ErC50 lemna</v>
      </c>
      <c r="B21" s="20">
        <f>'Aquatox Input parameter'!C23</f>
        <v>0.016562184024266936</v>
      </c>
      <c r="C21" s="48">
        <f>C$15/$B21</f>
        <v>0.17358821733821733</v>
      </c>
      <c r="D21" s="48">
        <f t="shared" si="0"/>
        <v>0.11797960927960928</v>
      </c>
      <c r="E21" s="48">
        <f t="shared" si="0"/>
        <v>0.1168324175824176</v>
      </c>
      <c r="F21" s="48">
        <f t="shared" si="0"/>
        <v>0.11411538461538462</v>
      </c>
      <c r="G21" s="48">
        <f t="shared" si="0"/>
        <v>0.1135115995115995</v>
      </c>
      <c r="H21" s="48">
        <f t="shared" si="0"/>
        <v>0</v>
      </c>
      <c r="I21" s="35">
        <f>'Aquatox Input parameter'!G23</f>
        <v>0.1</v>
      </c>
    </row>
    <row r="22" spans="1:9" s="29" customFormat="1" ht="18.75">
      <c r="A22" s="17" t="str">
        <f>'Aquatox Input parameter'!A24</f>
        <v>ErC50 myriophyllum</v>
      </c>
      <c r="B22" s="20">
        <f>'Aquatox Input parameter'!C24</f>
        <v>0.024949443882709806</v>
      </c>
      <c r="C22" s="48">
        <f>C$15/$B22</f>
        <v>0.11523302938196556</v>
      </c>
      <c r="D22" s="48">
        <f t="shared" si="0"/>
        <v>0.0783183789260385</v>
      </c>
      <c r="E22" s="48">
        <f t="shared" si="0"/>
        <v>0.07755683890577508</v>
      </c>
      <c r="F22" s="48">
        <f t="shared" si="0"/>
        <v>0.0757531914893617</v>
      </c>
      <c r="G22" s="48">
        <f t="shared" si="0"/>
        <v>0.07535238095238095</v>
      </c>
      <c r="H22" s="48">
        <f t="shared" si="0"/>
        <v>0</v>
      </c>
      <c r="I22" s="35">
        <f>'Aquatox Input parameter'!G24</f>
        <v>0.1</v>
      </c>
    </row>
    <row r="23" spans="3:5" s="29" customFormat="1" ht="18.75">
      <c r="C23" s="30"/>
      <c r="E23" s="30"/>
    </row>
    <row r="24" spans="1:3" s="29" customFormat="1" ht="18.75">
      <c r="A24" s="38" t="s">
        <v>115</v>
      </c>
      <c r="C24" s="30"/>
    </row>
    <row r="25" spans="1:5" s="29" customFormat="1" ht="18.75" customHeight="1">
      <c r="A25" s="98" t="s">
        <v>114</v>
      </c>
      <c r="B25" s="98"/>
      <c r="C25" s="98"/>
      <c r="D25" s="98"/>
      <c r="E25" s="98"/>
    </row>
    <row r="26" spans="1:5" s="29" customFormat="1" ht="18.75">
      <c r="A26" s="98"/>
      <c r="B26" s="98"/>
      <c r="C26" s="98"/>
      <c r="D26" s="98"/>
      <c r="E26" s="98"/>
    </row>
    <row r="27" spans="1:5" ht="18.75">
      <c r="A27" s="98"/>
      <c r="B27" s="98"/>
      <c r="C27" s="98"/>
      <c r="D27" s="98"/>
      <c r="E27" s="98"/>
    </row>
    <row r="28" spans="1:5" ht="18.75">
      <c r="A28" s="98"/>
      <c r="B28" s="98"/>
      <c r="C28" s="98"/>
      <c r="D28" s="98"/>
      <c r="E28" s="98"/>
    </row>
  </sheetData>
  <sheetProtection/>
  <mergeCells count="3">
    <mergeCell ref="A25:E28"/>
    <mergeCell ref="C17:H17"/>
    <mergeCell ref="A3:E6"/>
  </mergeCells>
  <conditionalFormatting sqref="C18:H22">
    <cfRule type="expression" priority="2" dxfId="4">
      <formula>C18&lt;=$I18</formula>
    </cfRule>
  </conditionalFormatting>
  <conditionalFormatting sqref="C18:H22">
    <cfRule type="expression" priority="1" dxfId="5">
      <formula>C18&gt;$I18</formula>
    </cfRule>
  </conditionalFormatting>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0"/>
  <sheetViews>
    <sheetView zoomScale="85" zoomScaleNormal="85" zoomScalePageLayoutView="0" workbookViewId="0" topLeftCell="A1">
      <selection activeCell="A1" sqref="A1"/>
    </sheetView>
  </sheetViews>
  <sheetFormatPr defaultColWidth="11.421875" defaultRowHeight="15"/>
  <cols>
    <col min="1" max="1" width="40.7109375" style="11" customWidth="1"/>
    <col min="2" max="13" width="20.7109375" style="11" customWidth="1"/>
    <col min="14" max="16384" width="11.421875" style="11" customWidth="1"/>
  </cols>
  <sheetData>
    <row r="1" ht="18.75">
      <c r="A1" s="10" t="s">
        <v>7</v>
      </c>
    </row>
    <row r="3" spans="1:12" ht="18.75" customHeight="1">
      <c r="A3" s="103" t="s">
        <v>110</v>
      </c>
      <c r="B3" s="103"/>
      <c r="C3" s="103"/>
      <c r="D3" s="103"/>
      <c r="E3" s="103"/>
      <c r="F3" s="29"/>
      <c r="G3" s="29"/>
      <c r="H3" s="29"/>
      <c r="I3" s="29"/>
      <c r="J3" s="29"/>
      <c r="K3" s="29"/>
      <c r="L3" s="29"/>
    </row>
    <row r="4" spans="1:12" ht="18.75">
      <c r="A4" s="103"/>
      <c r="B4" s="103"/>
      <c r="C4" s="103"/>
      <c r="D4" s="103"/>
      <c r="E4" s="103"/>
      <c r="F4" s="29"/>
      <c r="G4" s="29"/>
      <c r="H4" s="29"/>
      <c r="I4" s="29"/>
      <c r="J4" s="29"/>
      <c r="K4" s="29"/>
      <c r="L4" s="29"/>
    </row>
    <row r="5" spans="1:12" ht="18.75">
      <c r="A5" s="103"/>
      <c r="B5" s="103"/>
      <c r="C5" s="103"/>
      <c r="D5" s="103"/>
      <c r="E5" s="103"/>
      <c r="F5" s="29"/>
      <c r="G5" s="29"/>
      <c r="H5" s="29"/>
      <c r="I5" s="29"/>
      <c r="J5" s="29"/>
      <c r="K5" s="29"/>
      <c r="L5" s="29"/>
    </row>
    <row r="7" spans="3:11" ht="18.75">
      <c r="C7" s="105" t="s">
        <v>0</v>
      </c>
      <c r="D7" s="105"/>
      <c r="E7" s="105" t="s">
        <v>1</v>
      </c>
      <c r="F7" s="105"/>
      <c r="G7" s="105" t="s">
        <v>20</v>
      </c>
      <c r="H7" s="105"/>
      <c r="I7" s="100" t="s">
        <v>86</v>
      </c>
      <c r="J7" s="100"/>
      <c r="K7" s="41"/>
    </row>
    <row r="8" spans="1:11" s="29" customFormat="1" ht="96.75">
      <c r="A8" s="32" t="s">
        <v>82</v>
      </c>
      <c r="B8" s="14" t="s">
        <v>80</v>
      </c>
      <c r="C8" s="15" t="s">
        <v>103</v>
      </c>
      <c r="D8" s="44" t="s">
        <v>145</v>
      </c>
      <c r="E8" s="15" t="s">
        <v>103</v>
      </c>
      <c r="F8" s="14" t="s">
        <v>145</v>
      </c>
      <c r="G8" s="15" t="s">
        <v>103</v>
      </c>
      <c r="H8" s="44" t="s">
        <v>145</v>
      </c>
      <c r="I8" s="58" t="s">
        <v>104</v>
      </c>
      <c r="J8" s="58" t="s">
        <v>105</v>
      </c>
      <c r="K8" s="42"/>
    </row>
    <row r="9" spans="1:11" s="29" customFormat="1" ht="18.75">
      <c r="A9" s="17" t="str">
        <f>'Aquatox Input parameter'!A20</f>
        <v>LC50 fish</v>
      </c>
      <c r="B9" s="48">
        <f>'Aquatox Input parameter'!K20</f>
        <v>0.23622342486470274</v>
      </c>
      <c r="C9" s="56">
        <f>'Aquatox Input parameter'!H20</f>
        <v>0.23625000000000002</v>
      </c>
      <c r="D9" s="57">
        <f>1-$B9*(1/$B9-1/C9)</f>
        <v>0.9998875126548263</v>
      </c>
      <c r="E9" s="56">
        <f>'Aquatox Input parameter'!I20</f>
        <v>2099.9999999999995</v>
      </c>
      <c r="F9" s="85">
        <f>1-$B9*(1/$B9-1/E9)</f>
        <v>0.00011248734517366188</v>
      </c>
      <c r="G9" s="56">
        <f>'Aquatox Input parameter'!J20</f>
      </c>
      <c r="H9" s="57">
        <f>IF(G9="","",1-$B9*(1/$B9-1/G9))</f>
      </c>
      <c r="I9" s="55" t="str">
        <f>IF(G9="",IF(OR(D9&gt;=0.9,F9&gt;=0.9),"Go to 6",""),IF(OR(D9&gt;=0.9,F9&gt;=0.9,H9&gt;=0.9),"Go to 6",""))</f>
        <v>Go to 6</v>
      </c>
      <c r="J9" s="55">
        <f>IF(G9="",IF(OR(D9&gt;=0.9,F9&gt;=0.9),"","Go to 8"),IF(OR(D9&gt;=0.9,F9&gt;=0.9,H9&gt;=0.9),"","Go to 8"))</f>
      </c>
      <c r="K9" s="43"/>
    </row>
    <row r="10" spans="1:11" s="29" customFormat="1" ht="18.75">
      <c r="A10" s="17" t="str">
        <f>'Aquatox Input parameter'!A21</f>
        <v>EC50 daphnids</v>
      </c>
      <c r="B10" s="48">
        <f>'Aquatox Input parameter'!K21</f>
        <v>0.19214397904997152</v>
      </c>
      <c r="C10" s="56">
        <f>'Aquatox Input parameter'!H21</f>
        <v>0.19214999999999996</v>
      </c>
      <c r="D10" s="57">
        <f aca="true" t="shared" si="0" ref="D10:F13">1-$B10*(1/$B10-1/C10)</f>
        <v>0.9999686653654517</v>
      </c>
      <c r="E10" s="56">
        <f>'Aquatox Input parameter'!I21</f>
        <v>6131.999999999999</v>
      </c>
      <c r="F10" s="85">
        <f t="shared" si="0"/>
        <v>3.133463454829677E-05</v>
      </c>
      <c r="G10" s="56">
        <f>'Aquatox Input parameter'!J21</f>
      </c>
      <c r="H10" s="57">
        <f>IF(G10="","",1-$B10*(1/$B10-1/G10))</f>
      </c>
      <c r="I10" s="55" t="str">
        <f>IF(G10="",IF(OR(D10&gt;=0.9,F10&gt;=0.9),"Go to 6",""),IF(OR(D10&gt;=0.9,F10&gt;=0.9,H10&gt;=0.9),"Go to 6",""))</f>
        <v>Go to 6</v>
      </c>
      <c r="J10" s="55">
        <f>IF(G10="",IF(OR(D10&gt;=0.9,F10&gt;=0.9),"","Go to 8"),IF(OR(D10&gt;=0.9,F10&gt;=0.9,H10&gt;=0.9),"","Go to 8"))</f>
      </c>
      <c r="K10" s="43"/>
    </row>
    <row r="11" spans="1:11" s="29" customFormat="1" ht="18.75">
      <c r="A11" s="17" t="str">
        <f>'Aquatox Input parameter'!A22</f>
        <v>ErC50 algae</v>
      </c>
      <c r="B11" s="48">
        <f>'Aquatox Input parameter'!K22</f>
        <v>0.10095635987590486</v>
      </c>
      <c r="C11" s="56">
        <f>'Aquatox Input parameter'!H22</f>
        <v>0.21839999999999998</v>
      </c>
      <c r="D11" s="57">
        <f t="shared" si="0"/>
        <v>0.46225439503619437</v>
      </c>
      <c r="E11" s="56">
        <f>'Aquatox Input parameter'!I22</f>
        <v>0.18774</v>
      </c>
      <c r="F11" s="57">
        <f t="shared" si="0"/>
        <v>0.5377456049638055</v>
      </c>
      <c r="G11" s="56">
        <f>'Aquatox Input parameter'!J22</f>
      </c>
      <c r="H11" s="57">
        <f>IF(G11="","",1-$B11*(1/$B11-1/G11))</f>
      </c>
      <c r="I11" s="55">
        <f>IF(G11="",IF(OR(D11&gt;=0.9,F11&gt;=0.9),"Go to 6",""),IF(OR(D11&gt;=0.9,F11&gt;=0.9,H11&gt;=0.9),"Go to 6",""))</f>
      </c>
      <c r="J11" s="55" t="str">
        <f>IF(G11="",IF(OR(D11&gt;=0.9,F11&gt;=0.9),"","Go to 8"),IF(OR(D11&gt;=0.9,F11&gt;=0.9,H11&gt;=0.9),"","Go to 8"))</f>
        <v>Go to 8</v>
      </c>
      <c r="K11" s="43"/>
    </row>
    <row r="12" spans="1:11" s="29" customFormat="1" ht="18.75">
      <c r="A12" s="17" t="str">
        <f>'Aquatox Input parameter'!A23</f>
        <v>ErC50 lemna</v>
      </c>
      <c r="B12" s="48">
        <f>'Aquatox Input parameter'!K23</f>
        <v>0.024529396640383956</v>
      </c>
      <c r="C12" s="56">
        <f>'Aquatox Input parameter'!H23</f>
        <v>2.4255</v>
      </c>
      <c r="D12" s="57">
        <f t="shared" si="0"/>
        <v>0.01011312992800828</v>
      </c>
      <c r="E12" s="56">
        <f>'Aquatox Input parameter'!I23</f>
        <v>0.02478</v>
      </c>
      <c r="F12" s="57">
        <f t="shared" si="0"/>
        <v>0.9898868700719917</v>
      </c>
      <c r="G12" s="56">
        <f>'Aquatox Input parameter'!J23</f>
      </c>
      <c r="H12" s="57">
        <f>IF(G12="","",1-$B12*(1/$B12-1/G12))</f>
      </c>
      <c r="I12" s="55" t="str">
        <f>IF(G12="",IF(OR(D12&gt;=0.9,F12&gt;=0.9),"Go to 6",""),IF(OR(D12&gt;=0.9,F12&gt;=0.9,H12&gt;=0.9),"Go to 6",""))</f>
        <v>Go to 6</v>
      </c>
      <c r="J12" s="55">
        <f>IF(G12="",IF(OR(D12&gt;=0.9,F12&gt;=0.9),"","Go to 8"),IF(OR(D12&gt;=0.9,F12&gt;=0.9,H12&gt;=0.9),"","Go to 8"))</f>
      </c>
      <c r="K12" s="43"/>
    </row>
    <row r="13" spans="1:11" s="29" customFormat="1" ht="18.75">
      <c r="A13" s="17" t="str">
        <f>'Aquatox Input parameter'!A24</f>
        <v>ErC50 myriophyllum</v>
      </c>
      <c r="B13" s="48">
        <f>'Aquatox Input parameter'!K24</f>
        <v>0.020282291169451072</v>
      </c>
      <c r="C13" s="56">
        <f>'Aquatox Input parameter'!H24</f>
        <v>0.05628</v>
      </c>
      <c r="D13" s="57">
        <f t="shared" si="0"/>
        <v>0.36038186157517893</v>
      </c>
      <c r="E13" s="56">
        <f>'Aquatox Input parameter'!I24</f>
        <v>0.03171</v>
      </c>
      <c r="F13" s="57">
        <f t="shared" si="0"/>
        <v>0.6396181384248207</v>
      </c>
      <c r="G13" s="56">
        <f>'Aquatox Input parameter'!J24</f>
      </c>
      <c r="H13" s="57">
        <f>IF(G13="","",1-$B13*(1/$B13-1/G13))</f>
      </c>
      <c r="I13" s="55">
        <f>IF(G13="",IF(OR(D13&gt;=0.9,F13&gt;=0.9),"Go to 6",""),IF(OR(D13&gt;=0.9,F13&gt;=0.9,H13&gt;=0.9),"Go to 6",""))</f>
      </c>
      <c r="J13" s="55" t="str">
        <f>IF(G13="",IF(OR(D13&gt;=0.9,F13&gt;=0.9),"","Go to 8"),IF(OR(D13&gt;=0.9,F13&gt;=0.9,H13&gt;=0.9),"","Go to 8"))</f>
        <v>Go to 8</v>
      </c>
      <c r="K13" s="43"/>
    </row>
    <row r="14" spans="9:11" s="29" customFormat="1" ht="18.75">
      <c r="I14" s="30"/>
      <c r="K14" s="30"/>
    </row>
    <row r="15" spans="1:9" s="29" customFormat="1" ht="18.75">
      <c r="A15" s="38" t="s">
        <v>91</v>
      </c>
      <c r="D15" s="54"/>
      <c r="I15" s="30"/>
    </row>
    <row r="16" spans="1:5" s="29" customFormat="1" ht="18.75" customHeight="1">
      <c r="A16" s="98" t="s">
        <v>117</v>
      </c>
      <c r="B16" s="98"/>
      <c r="C16" s="98"/>
      <c r="D16" s="98"/>
      <c r="E16" s="98"/>
    </row>
    <row r="17" spans="1:5" s="29" customFormat="1" ht="18.75">
      <c r="A17" s="98"/>
      <c r="B17" s="98"/>
      <c r="C17" s="98"/>
      <c r="D17" s="98"/>
      <c r="E17" s="98"/>
    </row>
    <row r="18" spans="1:11" ht="18.75">
      <c r="A18" s="98"/>
      <c r="B18" s="98"/>
      <c r="C18" s="98"/>
      <c r="D18" s="98"/>
      <c r="E18" s="98"/>
      <c r="F18" s="29"/>
      <c r="G18" s="29"/>
      <c r="H18" s="29"/>
      <c r="I18" s="29"/>
      <c r="J18" s="29"/>
      <c r="K18" s="29"/>
    </row>
    <row r="19" spans="1:11" ht="18.75">
      <c r="A19" s="98"/>
      <c r="B19" s="98"/>
      <c r="C19" s="98"/>
      <c r="D19" s="98"/>
      <c r="E19" s="98"/>
      <c r="F19" s="29"/>
      <c r="G19" s="29"/>
      <c r="H19" s="29"/>
      <c r="I19" s="29"/>
      <c r="J19" s="29"/>
      <c r="K19" s="29"/>
    </row>
    <row r="20" spans="1:5" ht="18.75">
      <c r="A20" s="98"/>
      <c r="B20" s="98"/>
      <c r="C20" s="98"/>
      <c r="D20" s="98"/>
      <c r="E20" s="98"/>
    </row>
    <row r="21" spans="1:5" ht="18.75">
      <c r="A21" s="98"/>
      <c r="B21" s="98"/>
      <c r="C21" s="98"/>
      <c r="D21" s="98"/>
      <c r="E21" s="98"/>
    </row>
    <row r="22" spans="1:5" ht="18.75">
      <c r="A22" s="98"/>
      <c r="B22" s="98"/>
      <c r="C22" s="98"/>
      <c r="D22" s="98"/>
      <c r="E22" s="98"/>
    </row>
    <row r="23" spans="1:5" ht="18.75">
      <c r="A23" s="98"/>
      <c r="B23" s="98"/>
      <c r="C23" s="98"/>
      <c r="D23" s="98"/>
      <c r="E23" s="98"/>
    </row>
    <row r="24" spans="1:5" ht="18.75">
      <c r="A24" s="98" t="s">
        <v>146</v>
      </c>
      <c r="B24" s="98"/>
      <c r="C24" s="98"/>
      <c r="D24" s="98"/>
      <c r="E24" s="98"/>
    </row>
    <row r="25" spans="1:5" ht="18.75">
      <c r="A25" s="98"/>
      <c r="B25" s="98"/>
      <c r="C25" s="98"/>
      <c r="D25" s="98"/>
      <c r="E25" s="98"/>
    </row>
    <row r="26" spans="1:5" ht="18.75">
      <c r="A26" s="98"/>
      <c r="B26" s="98"/>
      <c r="C26" s="98"/>
      <c r="D26" s="98"/>
      <c r="E26" s="98"/>
    </row>
    <row r="27" spans="1:5" ht="18.75">
      <c r="A27" s="98"/>
      <c r="B27" s="98"/>
      <c r="C27" s="98"/>
      <c r="D27" s="98"/>
      <c r="E27" s="98"/>
    </row>
    <row r="28" spans="1:5" ht="18.75">
      <c r="A28" s="98"/>
      <c r="B28" s="98"/>
      <c r="C28" s="98"/>
      <c r="D28" s="98"/>
      <c r="E28" s="98"/>
    </row>
    <row r="29" spans="1:5" ht="18.75">
      <c r="A29" s="98"/>
      <c r="B29" s="98"/>
      <c r="C29" s="98"/>
      <c r="D29" s="98"/>
      <c r="E29" s="98"/>
    </row>
    <row r="30" spans="1:5" ht="18.75">
      <c r="A30" s="98"/>
      <c r="B30" s="98"/>
      <c r="C30" s="98"/>
      <c r="D30" s="98"/>
      <c r="E30" s="98"/>
    </row>
  </sheetData>
  <sheetProtection/>
  <mergeCells count="7">
    <mergeCell ref="A16:E23"/>
    <mergeCell ref="A24:E30"/>
    <mergeCell ref="C7:D7"/>
    <mergeCell ref="A3:E5"/>
    <mergeCell ref="I7:J7"/>
    <mergeCell ref="G7:H7"/>
    <mergeCell ref="E7:F7"/>
  </mergeCells>
  <hyperlinks>
    <hyperlink ref="I9:I13" location="'Step 6'!A1" display="'Step 6'!A1"/>
    <hyperlink ref="J9:J13" location="'Step 8'!A1" display="'Step 8'!A1"/>
  </hyperlink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8"/>
  <sheetViews>
    <sheetView zoomScale="130" zoomScaleNormal="130" zoomScalePageLayoutView="0" workbookViewId="0" topLeftCell="A1">
      <selection activeCell="A1" sqref="A1"/>
    </sheetView>
  </sheetViews>
  <sheetFormatPr defaultColWidth="11.421875" defaultRowHeight="15"/>
  <cols>
    <col min="1" max="1" width="40.7109375" style="11" customWidth="1"/>
    <col min="2" max="11" width="20.7109375" style="11" customWidth="1"/>
    <col min="12" max="16384" width="11.421875" style="11" customWidth="1"/>
  </cols>
  <sheetData>
    <row r="1" ht="18.75">
      <c r="A1" s="10" t="s">
        <v>9</v>
      </c>
    </row>
    <row r="2" s="29" customFormat="1" ht="18.75"/>
    <row r="3" spans="1:5" s="29" customFormat="1" ht="18.75" customHeight="1">
      <c r="A3" s="103" t="s">
        <v>106</v>
      </c>
      <c r="B3" s="103"/>
      <c r="C3" s="103"/>
      <c r="D3" s="103"/>
      <c r="E3" s="103"/>
    </row>
    <row r="4" spans="1:5" s="29" customFormat="1" ht="18.75">
      <c r="A4" s="103"/>
      <c r="B4" s="103"/>
      <c r="C4" s="103"/>
      <c r="D4" s="103"/>
      <c r="E4" s="103"/>
    </row>
    <row r="5" spans="1:5" s="29" customFormat="1" ht="18.75">
      <c r="A5" s="103"/>
      <c r="B5" s="103"/>
      <c r="C5" s="103"/>
      <c r="D5" s="103"/>
      <c r="E5" s="103"/>
    </row>
    <row r="6" spans="1:5" s="29" customFormat="1" ht="18.75">
      <c r="A6" s="103"/>
      <c r="B6" s="103"/>
      <c r="C6" s="103"/>
      <c r="D6" s="103"/>
      <c r="E6" s="103"/>
    </row>
    <row r="7" s="29" customFormat="1" ht="18.75"/>
    <row r="8" spans="1:5" s="29" customFormat="1" ht="18.75" customHeight="1">
      <c r="A8" s="106" t="s">
        <v>19</v>
      </c>
      <c r="B8" s="106"/>
      <c r="C8" s="59"/>
      <c r="D8" s="59"/>
      <c r="E8" s="59"/>
    </row>
    <row r="9" s="29" customFormat="1" ht="18.75"/>
    <row r="10" s="29" customFormat="1" ht="18.75"/>
    <row r="11" s="29" customFormat="1" ht="18.75"/>
    <row r="12" s="29" customFormat="1" ht="18.75"/>
    <row r="13" s="29" customFormat="1" ht="18.75"/>
    <row r="14" s="29" customFormat="1" ht="18.75"/>
    <row r="15" s="29" customFormat="1" ht="18.75"/>
    <row r="16" s="29" customFormat="1" ht="18.75"/>
  </sheetData>
  <sheetProtection/>
  <mergeCells count="2">
    <mergeCell ref="A3:E6"/>
    <mergeCell ref="A8:B8"/>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Krämer Wolfgang</dc:creator>
  <cp:keywords/>
  <dc:description/>
  <cp:lastModifiedBy>Varszegi Csaba</cp:lastModifiedBy>
  <dcterms:created xsi:type="dcterms:W3CDTF">2014-11-14T09:15:09Z</dcterms:created>
  <dcterms:modified xsi:type="dcterms:W3CDTF">2018-01-15T08:32:22Z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